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alasd\OneDrive\Personal\OMR\2023 OMR Review\"/>
    </mc:Choice>
  </mc:AlternateContent>
  <xr:revisionPtr revIDLastSave="0" documentId="8_{4AFD90AE-9B0C-41F1-BF81-F06DAB8E3E68}" xr6:coauthVersionLast="47" xr6:coauthVersionMax="47" xr10:uidLastSave="{00000000-0000-0000-0000-000000000000}"/>
  <bookViews>
    <workbookView xWindow="-10" yWindow="0" windowWidth="38450" windowHeight="20870" tabRatio="442" xr2:uid="{00000000-000D-0000-FFFF-FFFF00000000}"/>
  </bookViews>
  <sheets>
    <sheet name="OMR" sheetId="1" r:id="rId1"/>
    <sheet name="Look Ups" sheetId="2" r:id="rId2"/>
  </sheets>
  <definedNames>
    <definedName name="_LG1">OMR!$BC$2:$BC$510</definedName>
    <definedName name="_LG2">OMR!$BD$2:$BD$510</definedName>
    <definedName name="_ML1">OMR!$AH$2:$AH$510</definedName>
    <definedName name="_ML2">OMR!$AI$2:$AI$510</definedName>
    <definedName name="_RL1">OMR!$V$2:$V$510</definedName>
    <definedName name="_SL1">OMR!$CA$2:$CA$510</definedName>
    <definedName name="_SL2">OMR!$CB$2:$CB$510</definedName>
    <definedName name="AD">OMR!$BY$2:$BY$510</definedName>
    <definedName name="AG">OMR!$BI$2:$BI$510</definedName>
    <definedName name="AM">OMR!$AV$2:$AV$510</definedName>
    <definedName name="AOC">OMR!$U$2:$U$510</definedName>
    <definedName name="AS">OMR!$BQ$2:$BQ$510</definedName>
    <definedName name="BATT">OMR!$AR$2:$AR$510</definedName>
    <definedName name="BOA">OMR!$P$2:$P$510</definedName>
    <definedName name="DLF">OMR!$AG$2:$AG$510</definedName>
    <definedName name="E">OMR!$AO$2:$AO$510</definedName>
    <definedName name="EFD">OMR!$CU$2:$CU$510</definedName>
    <definedName name="EFG">OMR!$CP$2:$CP$510</definedName>
    <definedName name="EFM">OMR!$CN$2:$CN$510</definedName>
    <definedName name="EFS">OMR!$CS$2:$CS$510</definedName>
    <definedName name="ER">OMR!$AP$2:$AP$510</definedName>
    <definedName name="FD">OMR!$BT$2:$BT$510</definedName>
    <definedName name="FG">OMR!$BA$2:$BA$510</definedName>
    <definedName name="FIN">OMR!$AD$2:$AD$510</definedName>
    <definedName name="FLSPI">OMR!$CX$2:$CX$510</definedName>
    <definedName name="FOC">OMR!$T$2:$T$510</definedName>
    <definedName name="FOIL">OMR!$AE$2:$AE$510</definedName>
    <definedName name="FRD">OMR!$BU$2:$BU$510</definedName>
    <definedName name="FRG">OMR!$BB$2:$BB$510</definedName>
    <definedName name="FRS">OMR!$BM$2:$BM$510</definedName>
    <definedName name="FS">OMR!$BL$2:$BL$510</definedName>
    <definedName name="HB">OMR!$AK$2:$AK$510</definedName>
    <definedName name="HCE">OMR!$S$2:$S$510</definedName>
    <definedName name="HG">OMR!$BE$2:$BE$510</definedName>
    <definedName name="HWL">OMR!$S$2:$S$510</definedName>
    <definedName name="LCHD">OMR!$BV$2:$BV$510</definedName>
    <definedName name="LF">OMR!$W$2:$W$510</definedName>
    <definedName name="LL">OMR!$AY$2:$AY$510</definedName>
    <definedName name="LLD">OMR!$BR$2:$BR$510</definedName>
    <definedName name="LLRD">OMR!$BX$2:$BX$510</definedName>
    <definedName name="LLRG">OMR!$BG$2:$BG$510</definedName>
    <definedName name="LLRS">OMR!$BP$2:$BP$510</definedName>
    <definedName name="LLS">OMR!$BJ$2:$BJ$510</definedName>
    <definedName name="LOA">OMR!$Q$2:$Q$510</definedName>
    <definedName name="LOAA">OMR!$R$2:$R$510</definedName>
    <definedName name="LPD">OMR!$BS$2:$BS$510</definedName>
    <definedName name="LPG">OMR!$AZ$2:$AZ$510</definedName>
    <definedName name="LPM">OMR!$AJ$2:$AJ$510</definedName>
    <definedName name="LPS">OMR!$BK$2:$BK$510</definedName>
    <definedName name="LRD">OMR!$BW$2:$BW$510</definedName>
    <definedName name="LRG">OMR!$BF$2:$BF$510</definedName>
    <definedName name="LRS">OMR!$BO$2:$BO$510</definedName>
    <definedName name="LS">OMR!$BN$2:$BN$510</definedName>
    <definedName name="MAM">OMR!$AU$2:$AU$510</definedName>
    <definedName name="MC">OMR!$AQ$2:$AQ$510</definedName>
    <definedName name="MSASC">OMR!$CM$2:$CM$510</definedName>
    <definedName name="MSASP">OMR!$CF$2:$CF$510</definedName>
    <definedName name="NC">OMR!$AA$2:$AA$510</definedName>
    <definedName name="OMR">OMR!$F$2:$F$510</definedName>
    <definedName name="P">OMR!$AM$2:$AM$510</definedName>
    <definedName name="PCScrMG">OMR!$CK$2:$CK$510</definedName>
    <definedName name="PCSMG">OMR!$CD$2:$CD$510</definedName>
    <definedName name="PR">OMR!$AN$2:$AN$510</definedName>
    <definedName name="PRF">OMR!$AF$2:$AF$510</definedName>
    <definedName name="_xlnm.Print_Area" localSheetId="0">OMR!$B$2:$DF$510</definedName>
    <definedName name="RAMG">OMR!$CZ$2:$CZ$510</definedName>
    <definedName name="RASCO">OMR!$DB$2:$DB$510</definedName>
    <definedName name="RASCR">OMR!$DD$2:$DD$510</definedName>
    <definedName name="RASPO">OMR!$DA$2:$DA$510</definedName>
    <definedName name="RASPSC">OMR!$DC$2:$DC$510</definedName>
    <definedName name="RDM">OMR!$AL$2:$AL$510</definedName>
    <definedName name="RL">OMR!$V$2:$V$510</definedName>
    <definedName name="RSA">OMR!$DF$2:$DF$510</definedName>
    <definedName name="RSA2M">OMR!$AX$2:$AX$510</definedName>
    <definedName name="RSAD">OMR!$CV$2:$CV$510</definedName>
    <definedName name="RSAG">OMR!$CQ$2:$CQ$510</definedName>
    <definedName name="RSAM">OMR!$CO$2:$CO$510</definedName>
    <definedName name="RSAMG">OMR!$CZ$2:$CZ$510</definedName>
    <definedName name="RSAMZ">OMR!$AW$2:$AW$510</definedName>
    <definedName name="RSAST">OMR!$CT$2:$CT$510</definedName>
    <definedName name="RW">OMR!$AC$2:$AC$510</definedName>
    <definedName name="SCRF">OMR!$CG$2:$CG$510</definedName>
    <definedName name="ScrL1">OMR!$CH$2:$CH$510</definedName>
    <definedName name="ScrL2">OMR!$CI$2:$CI$510</definedName>
    <definedName name="ScrMG">OMR!$CJ$2:$CJ$510</definedName>
    <definedName name="SF">OMR!$BZ$2:$BZ$510</definedName>
    <definedName name="SMG">OMR!$CC$2:$CC$510</definedName>
    <definedName name="VLM">OMR!$AT$2:$AT$510</definedName>
    <definedName name="WCD">OMR!$Z$2:$Z$510</definedName>
    <definedName name="WE">OMR!$Y$2:$Y$510</definedName>
    <definedName name="WM">OMR!$X$2:$X$510</definedName>
    <definedName name="WS">OMR!$AB$2:$AB$510</definedName>
    <definedName name="x">OMR!$B$2:$DF$510</definedName>
    <definedName name="ZVAL">OMR!$CR$2:$CR$510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7" i="1" l="1"/>
  <c r="CU77" i="1" l="1"/>
  <c r="CS77" i="1"/>
  <c r="CM77" i="1"/>
  <c r="CK77" i="1"/>
  <c r="CF77" i="1"/>
  <c r="CD77" i="1"/>
  <c r="BY77" i="1"/>
  <c r="BQ77" i="1"/>
  <c r="BI77" i="1"/>
  <c r="AV77" i="1"/>
  <c r="AU77" i="1"/>
  <c r="AT77" i="1"/>
  <c r="AG77" i="1"/>
  <c r="AC77" i="1"/>
  <c r="V77" i="1"/>
  <c r="W77" i="1" s="1"/>
  <c r="S77" i="1"/>
  <c r="S37" i="1"/>
  <c r="V37" i="1"/>
  <c r="W37" i="1" s="1"/>
  <c r="AB37" i="1"/>
  <c r="AC37" i="1" s="1"/>
  <c r="AG37" i="1"/>
  <c r="AT37" i="1"/>
  <c r="AU37" i="1"/>
  <c r="AV37" i="1"/>
  <c r="CR37" i="1" s="1"/>
  <c r="BI37" i="1"/>
  <c r="BQ37" i="1"/>
  <c r="BY37" i="1"/>
  <c r="CV37" i="1" s="1"/>
  <c r="CD37" i="1"/>
  <c r="CF37" i="1"/>
  <c r="CK37" i="1"/>
  <c r="CM37" i="1"/>
  <c r="CS37" i="1"/>
  <c r="CU37" i="1"/>
  <c r="CW37" i="1"/>
  <c r="AB52" i="1"/>
  <c r="CT37" i="1" l="1"/>
  <c r="CR77" i="1"/>
  <c r="CV77" i="1"/>
  <c r="CW77" i="1"/>
  <c r="CT77" i="1"/>
  <c r="CN37" i="1"/>
  <c r="CO37" i="1" s="1"/>
  <c r="CP37" i="1"/>
  <c r="CQ37" i="1" s="1"/>
  <c r="CU40" i="1"/>
  <c r="CS40" i="1"/>
  <c r="CM40" i="1"/>
  <c r="CK40" i="1"/>
  <c r="CF40" i="1"/>
  <c r="CD40" i="1"/>
  <c r="BY40" i="1"/>
  <c r="BQ40" i="1"/>
  <c r="BI40" i="1"/>
  <c r="AV40" i="1"/>
  <c r="CR40" i="1" s="1"/>
  <c r="AU40" i="1"/>
  <c r="AT40" i="1"/>
  <c r="AG40" i="1"/>
  <c r="AB40" i="1"/>
  <c r="AC40" i="1" s="1"/>
  <c r="V40" i="1"/>
  <c r="W40" i="1" s="1"/>
  <c r="S40" i="1"/>
  <c r="CP77" i="1" l="1"/>
  <c r="CQ77" i="1" s="1"/>
  <c r="CN77" i="1"/>
  <c r="CO77" i="1" s="1"/>
  <c r="DA37" i="1"/>
  <c r="DC37" i="1"/>
  <c r="DD37" i="1"/>
  <c r="CX37" i="1"/>
  <c r="CY37" i="1" s="1"/>
  <c r="CZ37" i="1"/>
  <c r="DE37" i="1" s="1"/>
  <c r="DB37" i="1"/>
  <c r="CT40" i="1"/>
  <c r="CW40" i="1"/>
  <c r="CV40" i="1"/>
  <c r="CP40" i="1"/>
  <c r="CQ40" i="1" s="1"/>
  <c r="DD40" i="1" s="1"/>
  <c r="CN40" i="1"/>
  <c r="CO40" i="1" s="1"/>
  <c r="CU99" i="1"/>
  <c r="CS99" i="1"/>
  <c r="CM99" i="1"/>
  <c r="CK99" i="1"/>
  <c r="CF99" i="1"/>
  <c r="CD99" i="1"/>
  <c r="BY99" i="1"/>
  <c r="BQ99" i="1"/>
  <c r="BI99" i="1"/>
  <c r="AV99" i="1"/>
  <c r="CR99" i="1" s="1"/>
  <c r="AU99" i="1"/>
  <c r="AT99" i="1"/>
  <c r="AG99" i="1"/>
  <c r="AB99" i="1"/>
  <c r="AC99" i="1" s="1"/>
  <c r="V99" i="1"/>
  <c r="W99" i="1" s="1"/>
  <c r="S99" i="1"/>
  <c r="CZ77" i="1" l="1"/>
  <c r="DE77" i="1" s="1"/>
  <c r="CX77" i="1"/>
  <c r="CY77" i="1" s="1"/>
  <c r="DB77" i="1"/>
  <c r="DC77" i="1"/>
  <c r="DA77" i="1"/>
  <c r="DD77" i="1"/>
  <c r="H37" i="1"/>
  <c r="DF37" i="1"/>
  <c r="F37" i="1" s="1"/>
  <c r="G37" i="1" s="1"/>
  <c r="DB40" i="1"/>
  <c r="DC40" i="1"/>
  <c r="DA40" i="1"/>
  <c r="CZ40" i="1"/>
  <c r="DE40" i="1" s="1"/>
  <c r="CX40" i="1"/>
  <c r="CY40" i="1" s="1"/>
  <c r="CT99" i="1"/>
  <c r="CV99" i="1"/>
  <c r="CP99" i="1"/>
  <c r="CN99" i="1"/>
  <c r="CO99" i="1" s="1"/>
  <c r="CQ99" i="1"/>
  <c r="DA99" i="1" s="1"/>
  <c r="CW99" i="1"/>
  <c r="CX69" i="1"/>
  <c r="CM69" i="1"/>
  <c r="CK69" i="1"/>
  <c r="CF69" i="1"/>
  <c r="DC69" i="1" s="1"/>
  <c r="CD69" i="1"/>
  <c r="CD95" i="1"/>
  <c r="BY69" i="1"/>
  <c r="BQ69" i="1"/>
  <c r="BI69" i="1"/>
  <c r="AV69" i="1"/>
  <c r="CR69" i="1" s="1"/>
  <c r="AU69" i="1"/>
  <c r="AT69" i="1"/>
  <c r="AG69" i="1"/>
  <c r="AB69" i="1"/>
  <c r="AC69" i="1" s="1"/>
  <c r="V69" i="1"/>
  <c r="W69" i="1" s="1"/>
  <c r="S69" i="1"/>
  <c r="DF77" i="1" l="1"/>
  <c r="F77" i="1" s="1"/>
  <c r="G77" i="1" s="1"/>
  <c r="H77" i="1"/>
  <c r="DF40" i="1"/>
  <c r="H40" i="1"/>
  <c r="DC99" i="1"/>
  <c r="DD99" i="1"/>
  <c r="DB99" i="1"/>
  <c r="CZ99" i="1"/>
  <c r="DE99" i="1" s="1"/>
  <c r="CX99" i="1"/>
  <c r="CY99" i="1" s="1"/>
  <c r="CP69" i="1"/>
  <c r="CQ69" i="1" s="1"/>
  <c r="CN69" i="1"/>
  <c r="CO69" i="1" s="1"/>
  <c r="DD69" i="1"/>
  <c r="DA69" i="1"/>
  <c r="CW69" i="1"/>
  <c r="CY69" i="1" s="1"/>
  <c r="CU113" i="1"/>
  <c r="CS113" i="1"/>
  <c r="CM113" i="1"/>
  <c r="CK113" i="1"/>
  <c r="CF113" i="1"/>
  <c r="CD113" i="1"/>
  <c r="BY113" i="1"/>
  <c r="BQ113" i="1"/>
  <c r="BI113" i="1"/>
  <c r="AV113" i="1"/>
  <c r="CR113" i="1" s="1"/>
  <c r="AU113" i="1"/>
  <c r="AT113" i="1"/>
  <c r="AG113" i="1"/>
  <c r="AB113" i="1"/>
  <c r="AC113" i="1" s="1"/>
  <c r="V113" i="1"/>
  <c r="W113" i="1" s="1"/>
  <c r="S113" i="1"/>
  <c r="DB69" i="1" l="1"/>
  <c r="CZ69" i="1"/>
  <c r="DE69" i="1" s="1"/>
  <c r="F40" i="1"/>
  <c r="G40" i="1" s="1"/>
  <c r="DF99" i="1"/>
  <c r="H99" i="1"/>
  <c r="H69" i="1"/>
  <c r="CT113" i="1"/>
  <c r="CV113" i="1"/>
  <c r="CP113" i="1"/>
  <c r="CN113" i="1"/>
  <c r="CQ113" i="1"/>
  <c r="DA113" i="1" s="1"/>
  <c r="CO113" i="1"/>
  <c r="CW113" i="1"/>
  <c r="CU43" i="1"/>
  <c r="CS43" i="1"/>
  <c r="CM43" i="1"/>
  <c r="CK43" i="1"/>
  <c r="CF43" i="1"/>
  <c r="CD43" i="1"/>
  <c r="BY43" i="1"/>
  <c r="BQ43" i="1"/>
  <c r="BI43" i="1"/>
  <c r="AV43" i="1"/>
  <c r="CR43" i="1" s="1"/>
  <c r="AU43" i="1"/>
  <c r="AT43" i="1"/>
  <c r="AG43" i="1"/>
  <c r="AB43" i="1"/>
  <c r="AC43" i="1" s="1"/>
  <c r="V43" i="1"/>
  <c r="W43" i="1" s="1"/>
  <c r="S43" i="1"/>
  <c r="DF69" i="1" l="1"/>
  <c r="F69" i="1" s="1"/>
  <c r="G69" i="1" s="1"/>
  <c r="F99" i="1"/>
  <c r="G99" i="1" s="1"/>
  <c r="DC113" i="1"/>
  <c r="DD113" i="1"/>
  <c r="DB113" i="1"/>
  <c r="CZ113" i="1"/>
  <c r="DE113" i="1" s="1"/>
  <c r="CX113" i="1"/>
  <c r="CY113" i="1" s="1"/>
  <c r="CT43" i="1"/>
  <c r="CV43" i="1"/>
  <c r="CP43" i="1"/>
  <c r="CN43" i="1"/>
  <c r="CO43" i="1" s="1"/>
  <c r="CQ43" i="1"/>
  <c r="DD43" i="1" s="1"/>
  <c r="CW43" i="1"/>
  <c r="S84" i="1"/>
  <c r="W84" i="1"/>
  <c r="AB84" i="1"/>
  <c r="AC84" i="1" s="1"/>
  <c r="AG84" i="1"/>
  <c r="AT84" i="1"/>
  <c r="AU84" i="1"/>
  <c r="AV84" i="1"/>
  <c r="CR84" i="1" s="1"/>
  <c r="CN84" i="1" s="1"/>
  <c r="BI84" i="1"/>
  <c r="BQ84" i="1"/>
  <c r="BY84" i="1"/>
  <c r="CV84" i="1" s="1"/>
  <c r="CD84" i="1"/>
  <c r="CF84" i="1"/>
  <c r="DC84" i="1" s="1"/>
  <c r="CK84" i="1"/>
  <c r="CM84" i="1"/>
  <c r="CW84" i="1" s="1"/>
  <c r="CS84" i="1"/>
  <c r="CU84" i="1"/>
  <c r="CX84" i="1"/>
  <c r="DA84" i="1"/>
  <c r="DC43" i="1" l="1"/>
  <c r="CO84" i="1"/>
  <c r="DA43" i="1"/>
  <c r="DF113" i="1"/>
  <c r="F113" i="1" s="1"/>
  <c r="G113" i="1" s="1"/>
  <c r="H113" i="1"/>
  <c r="CZ43" i="1"/>
  <c r="DE43" i="1" s="1"/>
  <c r="DB43" i="1"/>
  <c r="CT84" i="1"/>
  <c r="CY84" i="1"/>
  <c r="CX43" i="1"/>
  <c r="CY43" i="1" s="1"/>
  <c r="H84" i="1"/>
  <c r="CP84" i="1"/>
  <c r="CQ84" i="1" s="1"/>
  <c r="DD84" i="1" s="1"/>
  <c r="AU124" i="1"/>
  <c r="DF43" i="1" l="1"/>
  <c r="F43" i="1" s="1"/>
  <c r="G43" i="1" s="1"/>
  <c r="H43" i="1"/>
  <c r="DB84" i="1"/>
  <c r="CZ84" i="1"/>
  <c r="S124" i="1"/>
  <c r="CM125" i="1"/>
  <c r="CK125" i="1"/>
  <c r="CF125" i="1"/>
  <c r="CD125" i="1"/>
  <c r="BI125" i="1"/>
  <c r="AV125" i="1"/>
  <c r="CR125" i="1" s="1"/>
  <c r="AU125" i="1"/>
  <c r="AT125" i="1"/>
  <c r="AG125" i="1"/>
  <c r="AB125" i="1"/>
  <c r="AC125" i="1" s="1"/>
  <c r="V125" i="1"/>
  <c r="W125" i="1" s="1"/>
  <c r="S125" i="1"/>
  <c r="DE84" i="1" l="1"/>
  <c r="DF84" i="1"/>
  <c r="F84" i="1" s="1"/>
  <c r="G84" i="1" s="1"/>
  <c r="CP125" i="1"/>
  <c r="CQ125" i="1" s="1"/>
  <c r="DD125" i="1" s="1"/>
  <c r="CN125" i="1"/>
  <c r="CO125" i="1" s="1"/>
  <c r="CW125" i="1"/>
  <c r="CX21" i="1"/>
  <c r="CU21" i="1"/>
  <c r="CS21" i="1"/>
  <c r="CM21" i="1"/>
  <c r="CK21" i="1"/>
  <c r="CF21" i="1"/>
  <c r="DC21" i="1" s="1"/>
  <c r="CD21" i="1"/>
  <c r="BY21" i="1"/>
  <c r="BQ21" i="1"/>
  <c r="BI21" i="1"/>
  <c r="AV21" i="1"/>
  <c r="CR21" i="1" s="1"/>
  <c r="AU21" i="1"/>
  <c r="AT21" i="1"/>
  <c r="AG21" i="1"/>
  <c r="AB21" i="1"/>
  <c r="AC21" i="1" s="1"/>
  <c r="V21" i="1"/>
  <c r="W21" i="1" s="1"/>
  <c r="S21" i="1"/>
  <c r="CT21" i="1" l="1"/>
  <c r="DC125" i="1"/>
  <c r="DB125" i="1"/>
  <c r="DA125" i="1"/>
  <c r="CZ125" i="1"/>
  <c r="DE125" i="1" s="1"/>
  <c r="CX125" i="1"/>
  <c r="CY125" i="1" s="1"/>
  <c r="CV21" i="1"/>
  <c r="CP21" i="1"/>
  <c r="CQ21" i="1" s="1"/>
  <c r="DD21" i="1" s="1"/>
  <c r="CN21" i="1"/>
  <c r="CO21" i="1" s="1"/>
  <c r="CW21" i="1"/>
  <c r="CY21" i="1" s="1"/>
  <c r="DA21" i="1"/>
  <c r="DF125" i="1" l="1"/>
  <c r="F125" i="1" s="1"/>
  <c r="G125" i="1" s="1"/>
  <c r="H125" i="1"/>
  <c r="CZ21" i="1"/>
  <c r="DE21" i="1" s="1"/>
  <c r="DB21" i="1"/>
  <c r="H21" i="1"/>
  <c r="CF35" i="1"/>
  <c r="CU35" i="1"/>
  <c r="CS35" i="1"/>
  <c r="CM35" i="1"/>
  <c r="CK35" i="1"/>
  <c r="CD35" i="1"/>
  <c r="BY35" i="1"/>
  <c r="BQ35" i="1"/>
  <c r="BI35" i="1"/>
  <c r="AV35" i="1"/>
  <c r="CR35" i="1" s="1"/>
  <c r="AU35" i="1"/>
  <c r="AT35" i="1"/>
  <c r="AG35" i="1"/>
  <c r="AB35" i="1"/>
  <c r="AC35" i="1" s="1"/>
  <c r="V35" i="1"/>
  <c r="W35" i="1" s="1"/>
  <c r="DF21" i="1" l="1"/>
  <c r="F21" i="1" s="1"/>
  <c r="G21" i="1" s="1"/>
  <c r="CT35" i="1"/>
  <c r="CV35" i="1"/>
  <c r="CP35" i="1"/>
  <c r="CQ35" i="1" s="1"/>
  <c r="CN35" i="1"/>
  <c r="CO35" i="1" s="1"/>
  <c r="CW35" i="1"/>
  <c r="CU28" i="1"/>
  <c r="CS28" i="1"/>
  <c r="CM28" i="1"/>
  <c r="CK28" i="1"/>
  <c r="CF28" i="1"/>
  <c r="CD28" i="1"/>
  <c r="BY28" i="1"/>
  <c r="BQ28" i="1"/>
  <c r="CT28" i="1" s="1"/>
  <c r="BI28" i="1"/>
  <c r="AV28" i="1"/>
  <c r="CR28" i="1" s="1"/>
  <c r="AU28" i="1"/>
  <c r="AT28" i="1"/>
  <c r="AG28" i="1"/>
  <c r="AB28" i="1"/>
  <c r="AC28" i="1" s="1"/>
  <c r="V28" i="1"/>
  <c r="W28" i="1" s="1"/>
  <c r="S28" i="1"/>
  <c r="DD35" i="1" l="1"/>
  <c r="DC35" i="1"/>
  <c r="DA35" i="1"/>
  <c r="CZ35" i="1"/>
  <c r="DE35" i="1" s="1"/>
  <c r="DB35" i="1"/>
  <c r="CX35" i="1"/>
  <c r="CY35" i="1" s="1"/>
  <c r="CV28" i="1"/>
  <c r="CP28" i="1"/>
  <c r="CQ28" i="1" s="1"/>
  <c r="DD28" i="1" s="1"/>
  <c r="CN28" i="1"/>
  <c r="CO28" i="1" s="1"/>
  <c r="CX28" i="1" s="1"/>
  <c r="CW28" i="1"/>
  <c r="DA28" i="1" l="1"/>
  <c r="DF35" i="1"/>
  <c r="F35" i="1" s="1"/>
  <c r="G35" i="1" s="1"/>
  <c r="H35" i="1"/>
  <c r="CY28" i="1"/>
  <c r="H28" i="1" s="1"/>
  <c r="DC28" i="1"/>
  <c r="CZ28" i="1"/>
  <c r="DE28" i="1" s="1"/>
  <c r="DB28" i="1"/>
  <c r="CU65" i="1"/>
  <c r="CS65" i="1"/>
  <c r="CM65" i="1"/>
  <c r="CK65" i="1"/>
  <c r="CF65" i="1"/>
  <c r="CD65" i="1"/>
  <c r="BY65" i="1"/>
  <c r="BQ65" i="1"/>
  <c r="BI65" i="1"/>
  <c r="AV65" i="1"/>
  <c r="CR65" i="1" s="1"/>
  <c r="AU65" i="1"/>
  <c r="AT65" i="1"/>
  <c r="AG65" i="1"/>
  <c r="AB65" i="1"/>
  <c r="AC65" i="1" s="1"/>
  <c r="V65" i="1"/>
  <c r="W65" i="1" s="1"/>
  <c r="S65" i="1"/>
  <c r="DF28" i="1" l="1"/>
  <c r="CT65" i="1"/>
  <c r="CV65" i="1"/>
  <c r="CP65" i="1"/>
  <c r="CQ65" i="1" s="1"/>
  <c r="CN65" i="1"/>
  <c r="CO65" i="1" s="1"/>
  <c r="CW65" i="1"/>
  <c r="BQ109" i="1"/>
  <c r="CS109" i="1" s="1"/>
  <c r="CT109" i="1" s="1"/>
  <c r="CW317" i="1"/>
  <c r="CU317" i="1"/>
  <c r="CS317" i="1"/>
  <c r="CM317" i="1"/>
  <c r="DD317" i="1" s="1"/>
  <c r="CK317" i="1"/>
  <c r="CF317" i="1"/>
  <c r="CD317" i="1"/>
  <c r="BY317" i="1"/>
  <c r="CV317" i="1" s="1"/>
  <c r="BQ317" i="1"/>
  <c r="BI317" i="1"/>
  <c r="AV317" i="1"/>
  <c r="AU317" i="1"/>
  <c r="AT317" i="1"/>
  <c r="AG317" i="1"/>
  <c r="AB317" i="1"/>
  <c r="AC317" i="1" s="1"/>
  <c r="V317" i="1"/>
  <c r="W317" i="1" s="1"/>
  <c r="S317" i="1"/>
  <c r="CX318" i="1"/>
  <c r="CU318" i="1"/>
  <c r="CS318" i="1"/>
  <c r="CM318" i="1"/>
  <c r="CK318" i="1"/>
  <c r="CF318" i="1"/>
  <c r="DC318" i="1" s="1"/>
  <c r="CD318" i="1"/>
  <c r="BY318" i="1"/>
  <c r="BQ318" i="1"/>
  <c r="BI318" i="1"/>
  <c r="AV318" i="1"/>
  <c r="CR318" i="1" s="1"/>
  <c r="CP318" i="1" s="1"/>
  <c r="AU318" i="1"/>
  <c r="AT318" i="1"/>
  <c r="AG318" i="1"/>
  <c r="AB318" i="1"/>
  <c r="AC318" i="1" s="1"/>
  <c r="F318" i="1" s="1"/>
  <c r="G318" i="1" s="1"/>
  <c r="V318" i="1"/>
  <c r="W318" i="1" s="1"/>
  <c r="S318" i="1"/>
  <c r="CF116" i="1"/>
  <c r="S129" i="1"/>
  <c r="V129" i="1"/>
  <c r="W129" i="1" s="1"/>
  <c r="AB129" i="1"/>
  <c r="AC129" i="1" s="1"/>
  <c r="AG129" i="1"/>
  <c r="AT129" i="1"/>
  <c r="AU129" i="1"/>
  <c r="AV129" i="1"/>
  <c r="CR129" i="1" s="1"/>
  <c r="BI129" i="1"/>
  <c r="BQ129" i="1"/>
  <c r="BY129" i="1"/>
  <c r="CD129" i="1"/>
  <c r="CF129" i="1"/>
  <c r="CK129" i="1"/>
  <c r="CM129" i="1"/>
  <c r="CW129" i="1" s="1"/>
  <c r="CS129" i="1"/>
  <c r="CT129" i="1" s="1"/>
  <c r="CU129" i="1"/>
  <c r="S101" i="1"/>
  <c r="V101" i="1"/>
  <c r="W101" i="1" s="1"/>
  <c r="AB101" i="1"/>
  <c r="AC101" i="1" s="1"/>
  <c r="AG101" i="1"/>
  <c r="AT101" i="1"/>
  <c r="AU101" i="1"/>
  <c r="AV101" i="1"/>
  <c r="CR101" i="1" s="1"/>
  <c r="BI101" i="1"/>
  <c r="BQ101" i="1"/>
  <c r="BY101" i="1"/>
  <c r="CV101" i="1" s="1"/>
  <c r="CD101" i="1"/>
  <c r="CF101" i="1"/>
  <c r="CK101" i="1"/>
  <c r="CM101" i="1"/>
  <c r="CW101" i="1" s="1"/>
  <c r="CS101" i="1"/>
  <c r="CT101" i="1" s="1"/>
  <c r="CU101" i="1"/>
  <c r="CF38" i="1"/>
  <c r="BQ117" i="1"/>
  <c r="CU109" i="1"/>
  <c r="CM109" i="1"/>
  <c r="CK109" i="1"/>
  <c r="CF109" i="1"/>
  <c r="CD109" i="1"/>
  <c r="BY109" i="1"/>
  <c r="BI109" i="1"/>
  <c r="AV109" i="1"/>
  <c r="CR109" i="1" s="1"/>
  <c r="AU109" i="1"/>
  <c r="AT109" i="1"/>
  <c r="AG109" i="1"/>
  <c r="AB109" i="1"/>
  <c r="AC109" i="1" s="1"/>
  <c r="V109" i="1"/>
  <c r="W109" i="1" s="1"/>
  <c r="S109" i="1"/>
  <c r="CU94" i="1"/>
  <c r="CS94" i="1"/>
  <c r="CM94" i="1"/>
  <c r="CK94" i="1"/>
  <c r="CF94" i="1"/>
  <c r="DA94" i="1" s="1"/>
  <c r="CD94" i="1"/>
  <c r="BY94" i="1"/>
  <c r="BQ94" i="1"/>
  <c r="BI94" i="1"/>
  <c r="AV94" i="1"/>
  <c r="CR94" i="1" s="1"/>
  <c r="CN94" i="1" s="1"/>
  <c r="AU94" i="1"/>
  <c r="AT94" i="1"/>
  <c r="AG94" i="1"/>
  <c r="AB94" i="1"/>
  <c r="AC94" i="1" s="1"/>
  <c r="V94" i="1"/>
  <c r="W94" i="1" s="1"/>
  <c r="S94" i="1"/>
  <c r="CM71" i="1"/>
  <c r="CK71" i="1"/>
  <c r="CF71" i="1"/>
  <c r="CD71" i="1"/>
  <c r="BY71" i="1"/>
  <c r="BQ71" i="1"/>
  <c r="BI71" i="1"/>
  <c r="AV71" i="1"/>
  <c r="CR71" i="1" s="1"/>
  <c r="AU71" i="1"/>
  <c r="AT71" i="1"/>
  <c r="AG71" i="1"/>
  <c r="AB71" i="1"/>
  <c r="AC71" i="1" s="1"/>
  <c r="V71" i="1"/>
  <c r="W71" i="1" s="1"/>
  <c r="S71" i="1"/>
  <c r="CK118" i="1"/>
  <c r="CK50" i="1"/>
  <c r="AU112" i="1"/>
  <c r="CU22" i="1"/>
  <c r="CS22" i="1"/>
  <c r="CK22" i="1"/>
  <c r="CM22" i="1"/>
  <c r="BI22" i="1"/>
  <c r="AV22" i="1"/>
  <c r="CR22" i="1" s="1"/>
  <c r="CN22" i="1" s="1"/>
  <c r="AU22" i="1"/>
  <c r="AT22" i="1"/>
  <c r="AG22" i="1"/>
  <c r="AB22" i="1"/>
  <c r="AC22" i="1" s="1"/>
  <c r="CU33" i="1"/>
  <c r="CS33" i="1"/>
  <c r="CK33" i="1"/>
  <c r="CM33" i="1"/>
  <c r="BI33" i="1"/>
  <c r="AV33" i="1"/>
  <c r="CR33" i="1" s="1"/>
  <c r="CP33" i="1" s="1"/>
  <c r="AU33" i="1"/>
  <c r="AT33" i="1"/>
  <c r="AG33" i="1"/>
  <c r="AB33" i="1"/>
  <c r="AC33" i="1" s="1"/>
  <c r="CM57" i="1"/>
  <c r="CK57" i="1"/>
  <c r="CK56" i="1"/>
  <c r="CF57" i="1"/>
  <c r="CD57" i="1"/>
  <c r="BY57" i="1"/>
  <c r="BQ57" i="1"/>
  <c r="BQ55" i="1"/>
  <c r="BQ56" i="1"/>
  <c r="BI57" i="1"/>
  <c r="AV57" i="1"/>
  <c r="CR57" i="1" s="1"/>
  <c r="AU57" i="1"/>
  <c r="AT57" i="1"/>
  <c r="AG57" i="1"/>
  <c r="AB57" i="1"/>
  <c r="AC57" i="1" s="1"/>
  <c r="V57" i="1"/>
  <c r="W57" i="1" s="1"/>
  <c r="S57" i="1"/>
  <c r="BQ91" i="1"/>
  <c r="CU229" i="1"/>
  <c r="CS229" i="1"/>
  <c r="CM229" i="1"/>
  <c r="CK229" i="1"/>
  <c r="CF229" i="1"/>
  <c r="CD229" i="1"/>
  <c r="BY229" i="1"/>
  <c r="BQ229" i="1"/>
  <c r="BI229" i="1"/>
  <c r="AV229" i="1"/>
  <c r="CR229" i="1" s="1"/>
  <c r="CN229" i="1" s="1"/>
  <c r="AU229" i="1"/>
  <c r="AT229" i="1"/>
  <c r="AG229" i="1"/>
  <c r="AB229" i="1"/>
  <c r="AC229" i="1" s="1"/>
  <c r="V229" i="1"/>
  <c r="W229" i="1" s="1"/>
  <c r="S229" i="1"/>
  <c r="S5" i="1"/>
  <c r="V5" i="1"/>
  <c r="W5" i="1" s="1"/>
  <c r="X5" i="1"/>
  <c r="AB5" i="1" s="1"/>
  <c r="AC5" i="1" s="1"/>
  <c r="AG5" i="1"/>
  <c r="AT5" i="1"/>
  <c r="AU5" i="1"/>
  <c r="AV5" i="1"/>
  <c r="CR5" i="1" s="1"/>
  <c r="CN5" i="1" s="1"/>
  <c r="BI5" i="1"/>
  <c r="BQ5" i="1"/>
  <c r="BY5" i="1"/>
  <c r="CD5" i="1"/>
  <c r="CF5" i="1"/>
  <c r="CK5" i="1"/>
  <c r="CM5" i="1"/>
  <c r="DD5" i="1" s="1"/>
  <c r="CS5" i="1"/>
  <c r="CT5" i="1" s="1"/>
  <c r="CU5" i="1"/>
  <c r="S6" i="1"/>
  <c r="V6" i="1"/>
  <c r="W6" i="1" s="1"/>
  <c r="AB6" i="1"/>
  <c r="AC6" i="1" s="1"/>
  <c r="AG6" i="1"/>
  <c r="AT6" i="1"/>
  <c r="AU6" i="1"/>
  <c r="AV6" i="1"/>
  <c r="CR6" i="1" s="1"/>
  <c r="CP6" i="1" s="1"/>
  <c r="BI6" i="1"/>
  <c r="BQ6" i="1"/>
  <c r="BY6" i="1"/>
  <c r="CV6" i="1" s="1"/>
  <c r="CD6" i="1"/>
  <c r="CF6" i="1"/>
  <c r="CK6" i="1"/>
  <c r="CM6" i="1"/>
  <c r="CW6" i="1" s="1"/>
  <c r="CS6" i="1"/>
  <c r="CT6" i="1" s="1"/>
  <c r="CU6" i="1"/>
  <c r="S7" i="1"/>
  <c r="V7" i="1"/>
  <c r="W7" i="1" s="1"/>
  <c r="AB7" i="1"/>
  <c r="AC7" i="1" s="1"/>
  <c r="AG7" i="1"/>
  <c r="AT7" i="1"/>
  <c r="AU7" i="1"/>
  <c r="AV7" i="1"/>
  <c r="CR7" i="1" s="1"/>
  <c r="CP7" i="1" s="1"/>
  <c r="BI7" i="1"/>
  <c r="BQ7" i="1"/>
  <c r="BY7" i="1"/>
  <c r="CV7" i="1" s="1"/>
  <c r="CD7" i="1"/>
  <c r="CF7" i="1"/>
  <c r="CK7" i="1"/>
  <c r="CM7" i="1"/>
  <c r="CS7" i="1"/>
  <c r="CT7" i="1" s="1"/>
  <c r="CU7" i="1"/>
  <c r="S9" i="1"/>
  <c r="V9" i="1"/>
  <c r="W9" i="1" s="1"/>
  <c r="AB9" i="1"/>
  <c r="AC9" i="1" s="1"/>
  <c r="AG9" i="1"/>
  <c r="AT9" i="1"/>
  <c r="AU9" i="1"/>
  <c r="AV9" i="1"/>
  <c r="CR9" i="1" s="1"/>
  <c r="BI9" i="1"/>
  <c r="BQ9" i="1"/>
  <c r="BY9" i="1"/>
  <c r="CV9" i="1" s="1"/>
  <c r="CD9" i="1"/>
  <c r="CF9" i="1"/>
  <c r="CK9" i="1"/>
  <c r="CM9" i="1"/>
  <c r="CS9" i="1"/>
  <c r="CT9" i="1" s="1"/>
  <c r="CU9" i="1"/>
  <c r="S144" i="1"/>
  <c r="V144" i="1"/>
  <c r="W144" i="1" s="1"/>
  <c r="X144" i="1"/>
  <c r="AB144" i="1" s="1"/>
  <c r="AC144" i="1" s="1"/>
  <c r="AG144" i="1"/>
  <c r="AT144" i="1"/>
  <c r="AU144" i="1"/>
  <c r="AV144" i="1"/>
  <c r="CR144" i="1" s="1"/>
  <c r="BI144" i="1"/>
  <c r="BQ144" i="1"/>
  <c r="BY144" i="1"/>
  <c r="CD144" i="1"/>
  <c r="CF144" i="1"/>
  <c r="CK144" i="1"/>
  <c r="CM144" i="1"/>
  <c r="CW144" i="1" s="1"/>
  <c r="CS144" i="1"/>
  <c r="CT144" i="1" s="1"/>
  <c r="CU144" i="1"/>
  <c r="S10" i="1"/>
  <c r="V10" i="1"/>
  <c r="W10" i="1" s="1"/>
  <c r="AB10" i="1"/>
  <c r="AC10" i="1" s="1"/>
  <c r="AG10" i="1"/>
  <c r="AT10" i="1"/>
  <c r="AU10" i="1"/>
  <c r="AV10" i="1"/>
  <c r="CR10" i="1" s="1"/>
  <c r="BI10" i="1"/>
  <c r="BQ10" i="1"/>
  <c r="BY10" i="1"/>
  <c r="CV10" i="1" s="1"/>
  <c r="CD10" i="1"/>
  <c r="CF10" i="1"/>
  <c r="CK10" i="1"/>
  <c r="CM10" i="1"/>
  <c r="CW10" i="1" s="1"/>
  <c r="CS10" i="1"/>
  <c r="CT10" i="1" s="1"/>
  <c r="CU10" i="1"/>
  <c r="S11" i="1"/>
  <c r="V11" i="1"/>
  <c r="W11" i="1" s="1"/>
  <c r="AB11" i="1"/>
  <c r="AC11" i="1" s="1"/>
  <c r="AG11" i="1"/>
  <c r="AT11" i="1"/>
  <c r="AU11" i="1"/>
  <c r="AV11" i="1"/>
  <c r="CR11" i="1" s="1"/>
  <c r="CP11" i="1" s="1"/>
  <c r="BI11" i="1"/>
  <c r="BQ11" i="1"/>
  <c r="BY11" i="1"/>
  <c r="CV11" i="1" s="1"/>
  <c r="CD11" i="1"/>
  <c r="CF11" i="1"/>
  <c r="CK11" i="1"/>
  <c r="CM11" i="1"/>
  <c r="CW11" i="1" s="1"/>
  <c r="CS11" i="1"/>
  <c r="CT11" i="1" s="1"/>
  <c r="CU11" i="1"/>
  <c r="S12" i="1"/>
  <c r="V12" i="1"/>
  <c r="W12" i="1" s="1"/>
  <c r="AB12" i="1"/>
  <c r="AC12" i="1" s="1"/>
  <c r="AG12" i="1"/>
  <c r="AT12" i="1"/>
  <c r="AU12" i="1"/>
  <c r="AV12" i="1"/>
  <c r="CR12" i="1" s="1"/>
  <c r="BI12" i="1"/>
  <c r="BQ12" i="1"/>
  <c r="BY12" i="1"/>
  <c r="CV12" i="1" s="1"/>
  <c r="CD12" i="1"/>
  <c r="CF12" i="1"/>
  <c r="CK12" i="1"/>
  <c r="CM12" i="1"/>
  <c r="CS12" i="1"/>
  <c r="CT12" i="1" s="1"/>
  <c r="CU12" i="1"/>
  <c r="S147" i="1"/>
  <c r="V147" i="1"/>
  <c r="W147" i="1" s="1"/>
  <c r="AB147" i="1"/>
  <c r="AC147" i="1" s="1"/>
  <c r="AG147" i="1"/>
  <c r="AT147" i="1"/>
  <c r="AU147" i="1"/>
  <c r="AV147" i="1"/>
  <c r="CR147" i="1" s="1"/>
  <c r="BI147" i="1"/>
  <c r="BQ147" i="1"/>
  <c r="BY147" i="1"/>
  <c r="CD147" i="1"/>
  <c r="CF147" i="1"/>
  <c r="CK147" i="1"/>
  <c r="CM147" i="1"/>
  <c r="CW147" i="1" s="1"/>
  <c r="CS147" i="1"/>
  <c r="CT147" i="1" s="1"/>
  <c r="CU147" i="1"/>
  <c r="S13" i="1"/>
  <c r="W13" i="1"/>
  <c r="AB13" i="1"/>
  <c r="AC13" i="1" s="1"/>
  <c r="AG13" i="1"/>
  <c r="AT13" i="1"/>
  <c r="AU13" i="1"/>
  <c r="AV13" i="1"/>
  <c r="CR13" i="1" s="1"/>
  <c r="CP13" i="1" s="1"/>
  <c r="BI13" i="1"/>
  <c r="BQ13" i="1"/>
  <c r="BY13" i="1"/>
  <c r="CV13" i="1" s="1"/>
  <c r="CD13" i="1"/>
  <c r="CF13" i="1"/>
  <c r="DC13" i="1" s="1"/>
  <c r="CK13" i="1"/>
  <c r="CM13" i="1"/>
  <c r="CW13" i="1" s="1"/>
  <c r="CS13" i="1"/>
  <c r="CT13" i="1" s="1"/>
  <c r="CU13" i="1"/>
  <c r="CX13" i="1"/>
  <c r="S14" i="1"/>
  <c r="V14" i="1"/>
  <c r="W14" i="1" s="1"/>
  <c r="AB14" i="1"/>
  <c r="AC14" i="1" s="1"/>
  <c r="AG14" i="1"/>
  <c r="AT14" i="1"/>
  <c r="AU14" i="1"/>
  <c r="AV14" i="1"/>
  <c r="CR14" i="1" s="1"/>
  <c r="CP14" i="1" s="1"/>
  <c r="BI14" i="1"/>
  <c r="BQ14" i="1"/>
  <c r="BY14" i="1"/>
  <c r="CV14" i="1" s="1"/>
  <c r="CD14" i="1"/>
  <c r="CF14" i="1"/>
  <c r="CK14" i="1"/>
  <c r="CM14" i="1"/>
  <c r="CW14" i="1" s="1"/>
  <c r="CS14" i="1"/>
  <c r="CU14" i="1"/>
  <c r="S15" i="1"/>
  <c r="V15" i="1"/>
  <c r="W15" i="1" s="1"/>
  <c r="AB15" i="1"/>
  <c r="AC15" i="1" s="1"/>
  <c r="AG15" i="1"/>
  <c r="AT15" i="1"/>
  <c r="AU15" i="1"/>
  <c r="AV15" i="1"/>
  <c r="CR15" i="1" s="1"/>
  <c r="CP15" i="1" s="1"/>
  <c r="BI15" i="1"/>
  <c r="BQ15" i="1"/>
  <c r="BY15" i="1"/>
  <c r="CV15" i="1" s="1"/>
  <c r="CD15" i="1"/>
  <c r="CF15" i="1"/>
  <c r="CK15" i="1"/>
  <c r="CM15" i="1"/>
  <c r="DD15" i="1" s="1"/>
  <c r="CS15" i="1"/>
  <c r="CU15" i="1"/>
  <c r="S16" i="1"/>
  <c r="V16" i="1"/>
  <c r="W16" i="1" s="1"/>
  <c r="AB16" i="1"/>
  <c r="AC16" i="1" s="1"/>
  <c r="AG16" i="1"/>
  <c r="AT16" i="1"/>
  <c r="AU16" i="1"/>
  <c r="AV16" i="1"/>
  <c r="CR16" i="1" s="1"/>
  <c r="CN16" i="1" s="1"/>
  <c r="BI16" i="1"/>
  <c r="BQ16" i="1"/>
  <c r="BY16" i="1"/>
  <c r="CV16" i="1" s="1"/>
  <c r="CD16" i="1"/>
  <c r="CF16" i="1"/>
  <c r="DA16" i="1" s="1"/>
  <c r="CK16" i="1"/>
  <c r="CM16" i="1"/>
  <c r="CW16" i="1" s="1"/>
  <c r="CS16" i="1"/>
  <c r="CU16" i="1"/>
  <c r="CX16" i="1"/>
  <c r="X17" i="1"/>
  <c r="AB17" i="1" s="1"/>
  <c r="AC17" i="1" s="1"/>
  <c r="AG17" i="1"/>
  <c r="AT17" i="1"/>
  <c r="AU17" i="1"/>
  <c r="AV17" i="1"/>
  <c r="CR17" i="1" s="1"/>
  <c r="CN17" i="1" s="1"/>
  <c r="BI17" i="1"/>
  <c r="CD17" i="1"/>
  <c r="CF17" i="1"/>
  <c r="DA17" i="1" s="1"/>
  <c r="CK17" i="1"/>
  <c r="CM17" i="1"/>
  <c r="CS17" i="1"/>
  <c r="CU17" i="1"/>
  <c r="CX17" i="1"/>
  <c r="AB18" i="1"/>
  <c r="AC18" i="1" s="1"/>
  <c r="AG18" i="1"/>
  <c r="AT18" i="1"/>
  <c r="AU18" i="1"/>
  <c r="AV18" i="1"/>
  <c r="CR18" i="1" s="1"/>
  <c r="CN18" i="1" s="1"/>
  <c r="BI18" i="1"/>
  <c r="CK18" i="1"/>
  <c r="CM18" i="1"/>
  <c r="CW18" i="1" s="1"/>
  <c r="CS18" i="1"/>
  <c r="CU18" i="1"/>
  <c r="AB8" i="1"/>
  <c r="AC8" i="1" s="1"/>
  <c r="AG8" i="1"/>
  <c r="AT8" i="1"/>
  <c r="AU8" i="1"/>
  <c r="AV8" i="1"/>
  <c r="CR8" i="1" s="1"/>
  <c r="CP8" i="1" s="1"/>
  <c r="BI8" i="1"/>
  <c r="CD8" i="1"/>
  <c r="CF8" i="1"/>
  <c r="CK8" i="1"/>
  <c r="CM8" i="1"/>
  <c r="CS8" i="1"/>
  <c r="CU8" i="1"/>
  <c r="CX8" i="1"/>
  <c r="AB19" i="1"/>
  <c r="AC19" i="1" s="1"/>
  <c r="AG19" i="1"/>
  <c r="AT19" i="1"/>
  <c r="AU19" i="1"/>
  <c r="AV19" i="1"/>
  <c r="CR19" i="1" s="1"/>
  <c r="CP19" i="1" s="1"/>
  <c r="BI19" i="1"/>
  <c r="CK19" i="1"/>
  <c r="CM19" i="1"/>
  <c r="CS19" i="1"/>
  <c r="CU19" i="1"/>
  <c r="AB20" i="1"/>
  <c r="AC20" i="1" s="1"/>
  <c r="AG20" i="1"/>
  <c r="AT20" i="1"/>
  <c r="AU20" i="1"/>
  <c r="AV20" i="1"/>
  <c r="CR20" i="1" s="1"/>
  <c r="BI20" i="1"/>
  <c r="CK20" i="1"/>
  <c r="CM20" i="1"/>
  <c r="CS20" i="1"/>
  <c r="CU20" i="1"/>
  <c r="S156" i="1"/>
  <c r="V156" i="1"/>
  <c r="W156" i="1" s="1"/>
  <c r="AB156" i="1"/>
  <c r="AC156" i="1" s="1"/>
  <c r="AG156" i="1"/>
  <c r="AT156" i="1"/>
  <c r="AU156" i="1"/>
  <c r="AV156" i="1"/>
  <c r="CR156" i="1" s="1"/>
  <c r="BI156" i="1"/>
  <c r="BQ156" i="1"/>
  <c r="BY156" i="1"/>
  <c r="CD156" i="1"/>
  <c r="CF156" i="1"/>
  <c r="CK156" i="1"/>
  <c r="CM156" i="1"/>
  <c r="CS156" i="1"/>
  <c r="CU156" i="1"/>
  <c r="CW156" i="1"/>
  <c r="S157" i="1"/>
  <c r="V157" i="1"/>
  <c r="W157" i="1" s="1"/>
  <c r="AB157" i="1"/>
  <c r="AC157" i="1" s="1"/>
  <c r="AG157" i="1"/>
  <c r="AT157" i="1"/>
  <c r="AU157" i="1"/>
  <c r="AV157" i="1"/>
  <c r="CR157" i="1" s="1"/>
  <c r="BI157" i="1"/>
  <c r="BQ157" i="1"/>
  <c r="BY157" i="1"/>
  <c r="CD157" i="1"/>
  <c r="CF157" i="1"/>
  <c r="DC157" i="1" s="1"/>
  <c r="CK157" i="1"/>
  <c r="CM157" i="1"/>
  <c r="CS157" i="1"/>
  <c r="CU157" i="1"/>
  <c r="CX157" i="1"/>
  <c r="S159" i="1"/>
  <c r="V159" i="1"/>
  <c r="W159" i="1" s="1"/>
  <c r="AB159" i="1"/>
  <c r="AC159" i="1" s="1"/>
  <c r="AG159" i="1"/>
  <c r="AT159" i="1"/>
  <c r="AU159" i="1"/>
  <c r="AV159" i="1"/>
  <c r="CR159" i="1" s="1"/>
  <c r="BI159" i="1"/>
  <c r="BQ159" i="1"/>
  <c r="BY159" i="1"/>
  <c r="CV159" i="1" s="1"/>
  <c r="CD159" i="1"/>
  <c r="CF159" i="1"/>
  <c r="CK159" i="1"/>
  <c r="CM159" i="1"/>
  <c r="CS159" i="1"/>
  <c r="CT159" i="1" s="1"/>
  <c r="CU159" i="1"/>
  <c r="AB24" i="1"/>
  <c r="AC24" i="1" s="1"/>
  <c r="AG24" i="1"/>
  <c r="AT24" i="1"/>
  <c r="AU24" i="1"/>
  <c r="AV24" i="1"/>
  <c r="CR24" i="1" s="1"/>
  <c r="CN24" i="1" s="1"/>
  <c r="BI24" i="1"/>
  <c r="CD24" i="1"/>
  <c r="CF24" i="1"/>
  <c r="CK24" i="1"/>
  <c r="CM24" i="1"/>
  <c r="CW24" i="1" s="1"/>
  <c r="CS24" i="1"/>
  <c r="CU24" i="1"/>
  <c r="AB30" i="1"/>
  <c r="AC30" i="1" s="1"/>
  <c r="AG30" i="1"/>
  <c r="AT30" i="1"/>
  <c r="AU30" i="1"/>
  <c r="AV30" i="1"/>
  <c r="CR30" i="1" s="1"/>
  <c r="BI30" i="1"/>
  <c r="CD30" i="1"/>
  <c r="CF30" i="1"/>
  <c r="DA30" i="1" s="1"/>
  <c r="CK30" i="1"/>
  <c r="CM30" i="1"/>
  <c r="CS30" i="1"/>
  <c r="CU30" i="1"/>
  <c r="CX30" i="1"/>
  <c r="AB34" i="1"/>
  <c r="AC34" i="1" s="1"/>
  <c r="AG34" i="1"/>
  <c r="AT34" i="1"/>
  <c r="AU34" i="1"/>
  <c r="AV34" i="1"/>
  <c r="CR34" i="1" s="1"/>
  <c r="CP34" i="1" s="1"/>
  <c r="BI34" i="1"/>
  <c r="CK34" i="1"/>
  <c r="CM34" i="1"/>
  <c r="DD34" i="1" s="1"/>
  <c r="CS34" i="1"/>
  <c r="CU34" i="1"/>
  <c r="CW34" i="1"/>
  <c r="S53" i="1"/>
  <c r="V53" i="1"/>
  <c r="W53" i="1" s="1"/>
  <c r="AB53" i="1"/>
  <c r="AC53" i="1" s="1"/>
  <c r="AG53" i="1"/>
  <c r="AT53" i="1"/>
  <c r="AU53" i="1"/>
  <c r="AV53" i="1"/>
  <c r="CR53" i="1" s="1"/>
  <c r="BI53" i="1"/>
  <c r="BQ53" i="1"/>
  <c r="BY53" i="1"/>
  <c r="CV53" i="1" s="1"/>
  <c r="CD53" i="1"/>
  <c r="CF53" i="1"/>
  <c r="CK53" i="1"/>
  <c r="CM53" i="1"/>
  <c r="CW53" i="1" s="1"/>
  <c r="CS53" i="1"/>
  <c r="CT53" i="1" s="1"/>
  <c r="CU53" i="1"/>
  <c r="S110" i="1"/>
  <c r="V110" i="1"/>
  <c r="W110" i="1" s="1"/>
  <c r="AB110" i="1"/>
  <c r="AC110" i="1" s="1"/>
  <c r="AG110" i="1"/>
  <c r="AT110" i="1"/>
  <c r="AU110" i="1"/>
  <c r="AV110" i="1"/>
  <c r="BI110" i="1"/>
  <c r="BQ110" i="1"/>
  <c r="BY110" i="1"/>
  <c r="CV110" i="1" s="1"/>
  <c r="CD110" i="1"/>
  <c r="CF110" i="1"/>
  <c r="CK110" i="1"/>
  <c r="CM110" i="1"/>
  <c r="DD110" i="1" s="1"/>
  <c r="CS110" i="1"/>
  <c r="CT110" i="1" s="1"/>
  <c r="CU110" i="1"/>
  <c r="CW110" i="1"/>
  <c r="S114" i="1"/>
  <c r="V114" i="1"/>
  <c r="W114" i="1" s="1"/>
  <c r="AB114" i="1"/>
  <c r="AC114" i="1" s="1"/>
  <c r="AG114" i="1"/>
  <c r="AT114" i="1"/>
  <c r="AU114" i="1"/>
  <c r="AV114" i="1"/>
  <c r="CR114" i="1" s="1"/>
  <c r="CP114" i="1" s="1"/>
  <c r="BI114" i="1"/>
  <c r="BQ114" i="1"/>
  <c r="BY114" i="1"/>
  <c r="CD114" i="1"/>
  <c r="CF114" i="1"/>
  <c r="CK114" i="1"/>
  <c r="CM114" i="1"/>
  <c r="DD114" i="1" s="1"/>
  <c r="CS114" i="1"/>
  <c r="CU114" i="1"/>
  <c r="CW114" i="1"/>
  <c r="V124" i="1"/>
  <c r="W124" i="1" s="1"/>
  <c r="AB124" i="1"/>
  <c r="AC124" i="1" s="1"/>
  <c r="AG124" i="1"/>
  <c r="AT124" i="1"/>
  <c r="AV124" i="1"/>
  <c r="CR124" i="1" s="1"/>
  <c r="CP124" i="1" s="1"/>
  <c r="BI124" i="1"/>
  <c r="CD124" i="1"/>
  <c r="CF124" i="1"/>
  <c r="CK124" i="1"/>
  <c r="CM124" i="1"/>
  <c r="S128" i="1"/>
  <c r="V128" i="1"/>
  <c r="W128" i="1" s="1"/>
  <c r="AB128" i="1"/>
  <c r="AC128" i="1" s="1"/>
  <c r="AG128" i="1"/>
  <c r="AT128" i="1"/>
  <c r="AU128" i="1"/>
  <c r="AV128" i="1"/>
  <c r="CR128" i="1" s="1"/>
  <c r="BI128" i="1"/>
  <c r="BQ128" i="1"/>
  <c r="BY128" i="1"/>
  <c r="CV128" i="1" s="1"/>
  <c r="CD128" i="1"/>
  <c r="CF128" i="1"/>
  <c r="CK128" i="1"/>
  <c r="CM128" i="1"/>
  <c r="CW128" i="1" s="1"/>
  <c r="CS128" i="1"/>
  <c r="CT128" i="1" s="1"/>
  <c r="CU128" i="1"/>
  <c r="S164" i="1"/>
  <c r="V164" i="1"/>
  <c r="W164" i="1" s="1"/>
  <c r="AB164" i="1"/>
  <c r="AC164" i="1" s="1"/>
  <c r="AG164" i="1"/>
  <c r="AT164" i="1"/>
  <c r="AU164" i="1"/>
  <c r="AV164" i="1"/>
  <c r="CR164" i="1" s="1"/>
  <c r="BI164" i="1"/>
  <c r="BQ164" i="1"/>
  <c r="BY164" i="1"/>
  <c r="CV164" i="1" s="1"/>
  <c r="CD164" i="1"/>
  <c r="CF164" i="1"/>
  <c r="CK164" i="1"/>
  <c r="CM164" i="1"/>
  <c r="CS164" i="1"/>
  <c r="CT164" i="1" s="1"/>
  <c r="CU164" i="1"/>
  <c r="CX164" i="1"/>
  <c r="AB25" i="1"/>
  <c r="AC25" i="1" s="1"/>
  <c r="AG25" i="1"/>
  <c r="AT25" i="1"/>
  <c r="AU25" i="1"/>
  <c r="AV25" i="1"/>
  <c r="CR25" i="1" s="1"/>
  <c r="CN25" i="1" s="1"/>
  <c r="BI25" i="1"/>
  <c r="CK25" i="1"/>
  <c r="CM25" i="1"/>
  <c r="CS25" i="1"/>
  <c r="CU25" i="1"/>
  <c r="AB26" i="1"/>
  <c r="AC26" i="1" s="1"/>
  <c r="AG26" i="1"/>
  <c r="AT26" i="1"/>
  <c r="AU26" i="1"/>
  <c r="AV26" i="1"/>
  <c r="CR26" i="1" s="1"/>
  <c r="CP26" i="1" s="1"/>
  <c r="BI26" i="1"/>
  <c r="CK26" i="1"/>
  <c r="CM26" i="1"/>
  <c r="CW26" i="1" s="1"/>
  <c r="CS26" i="1"/>
  <c r="CU26" i="1"/>
  <c r="AB27" i="1"/>
  <c r="AC27" i="1" s="1"/>
  <c r="AG27" i="1"/>
  <c r="AT27" i="1"/>
  <c r="AU27" i="1"/>
  <c r="AV27" i="1"/>
  <c r="CR27" i="1" s="1"/>
  <c r="CP27" i="1" s="1"/>
  <c r="BI27" i="1"/>
  <c r="CK27" i="1"/>
  <c r="CM27" i="1"/>
  <c r="CS27" i="1"/>
  <c r="CU27" i="1"/>
  <c r="S168" i="1"/>
  <c r="V168" i="1"/>
  <c r="W168" i="1" s="1"/>
  <c r="AB168" i="1"/>
  <c r="AC168" i="1" s="1"/>
  <c r="AG168" i="1"/>
  <c r="AT168" i="1"/>
  <c r="AU168" i="1"/>
  <c r="AV168" i="1"/>
  <c r="CR168" i="1" s="1"/>
  <c r="BI168" i="1"/>
  <c r="BQ168" i="1"/>
  <c r="BY168" i="1"/>
  <c r="CD168" i="1"/>
  <c r="CF168" i="1"/>
  <c r="CK168" i="1"/>
  <c r="CM168" i="1"/>
  <c r="CS168" i="1"/>
  <c r="CU168" i="1"/>
  <c r="S170" i="1"/>
  <c r="V170" i="1"/>
  <c r="W170" i="1" s="1"/>
  <c r="AB170" i="1"/>
  <c r="AC170" i="1" s="1"/>
  <c r="AG170" i="1"/>
  <c r="AT170" i="1"/>
  <c r="AU170" i="1"/>
  <c r="AV170" i="1"/>
  <c r="CR170" i="1" s="1"/>
  <c r="BI170" i="1"/>
  <c r="BQ170" i="1"/>
  <c r="BY170" i="1"/>
  <c r="CD170" i="1"/>
  <c r="CF170" i="1"/>
  <c r="CK170" i="1"/>
  <c r="CM170" i="1"/>
  <c r="DD170" i="1" s="1"/>
  <c r="CS170" i="1"/>
  <c r="CU170" i="1"/>
  <c r="CW170" i="1"/>
  <c r="X29" i="1"/>
  <c r="AB29" i="1" s="1"/>
  <c r="AC29" i="1" s="1"/>
  <c r="AG29" i="1"/>
  <c r="AT29" i="1"/>
  <c r="AU29" i="1"/>
  <c r="AV29" i="1"/>
  <c r="CR29" i="1" s="1"/>
  <c r="CN29" i="1" s="1"/>
  <c r="BI29" i="1"/>
  <c r="CK29" i="1"/>
  <c r="CM29" i="1"/>
  <c r="CS29" i="1"/>
  <c r="CU29" i="1"/>
  <c r="AB31" i="1"/>
  <c r="AC31" i="1" s="1"/>
  <c r="AG31" i="1"/>
  <c r="AT31" i="1"/>
  <c r="AU31" i="1"/>
  <c r="AV31" i="1"/>
  <c r="CR31" i="1" s="1"/>
  <c r="CP31" i="1" s="1"/>
  <c r="BI31" i="1"/>
  <c r="CK31" i="1"/>
  <c r="CM31" i="1"/>
  <c r="CS31" i="1"/>
  <c r="CU31" i="1"/>
  <c r="S174" i="1"/>
  <c r="V174" i="1"/>
  <c r="W174" i="1" s="1"/>
  <c r="AB174" i="1"/>
  <c r="AC174" i="1" s="1"/>
  <c r="AG174" i="1"/>
  <c r="AT174" i="1"/>
  <c r="AU174" i="1"/>
  <c r="AV174" i="1"/>
  <c r="CR174" i="1" s="1"/>
  <c r="BI174" i="1"/>
  <c r="BQ174" i="1"/>
  <c r="BY174" i="1"/>
  <c r="CD174" i="1"/>
  <c r="CF174" i="1"/>
  <c r="CK174" i="1"/>
  <c r="CM174" i="1"/>
  <c r="CW174" i="1" s="1"/>
  <c r="CS174" i="1"/>
  <c r="CT174" i="1" s="1"/>
  <c r="CU174" i="1"/>
  <c r="AB32" i="1"/>
  <c r="AC32" i="1" s="1"/>
  <c r="AG32" i="1"/>
  <c r="AT32" i="1"/>
  <c r="AU32" i="1"/>
  <c r="AV32" i="1"/>
  <c r="CR32" i="1" s="1"/>
  <c r="CP32" i="1" s="1"/>
  <c r="BI32" i="1"/>
  <c r="CK32" i="1"/>
  <c r="CM32" i="1"/>
  <c r="CS32" i="1"/>
  <c r="CU32" i="1"/>
  <c r="S181" i="1"/>
  <c r="V181" i="1"/>
  <c r="W181" i="1" s="1"/>
  <c r="AB181" i="1"/>
  <c r="AC181" i="1" s="1"/>
  <c r="AG181" i="1"/>
  <c r="AT181" i="1"/>
  <c r="AU181" i="1"/>
  <c r="AV181" i="1"/>
  <c r="BI181" i="1"/>
  <c r="BQ181" i="1"/>
  <c r="BY181" i="1"/>
  <c r="CD181" i="1"/>
  <c r="CF181" i="1"/>
  <c r="CK181" i="1"/>
  <c r="CM181" i="1"/>
  <c r="CS181" i="1"/>
  <c r="CU181" i="1"/>
  <c r="AB36" i="1"/>
  <c r="AC36" i="1" s="1"/>
  <c r="AG36" i="1"/>
  <c r="AT36" i="1"/>
  <c r="AU36" i="1"/>
  <c r="AV36" i="1"/>
  <c r="CR36" i="1" s="1"/>
  <c r="BI36" i="1"/>
  <c r="CK36" i="1"/>
  <c r="CM36" i="1"/>
  <c r="CW36" i="1" s="1"/>
  <c r="CS36" i="1"/>
  <c r="CU36" i="1"/>
  <c r="AB38" i="1"/>
  <c r="AC38" i="1" s="1"/>
  <c r="AG38" i="1"/>
  <c r="AT38" i="1"/>
  <c r="AU38" i="1"/>
  <c r="AV38" i="1"/>
  <c r="CR38" i="1" s="1"/>
  <c r="CP38" i="1" s="1"/>
  <c r="BI38" i="1"/>
  <c r="CD38" i="1"/>
  <c r="CK38" i="1"/>
  <c r="CM38" i="1"/>
  <c r="CS38" i="1"/>
  <c r="CU38" i="1"/>
  <c r="S39" i="1"/>
  <c r="V39" i="1"/>
  <c r="W39" i="1" s="1"/>
  <c r="AB39" i="1"/>
  <c r="AC39" i="1" s="1"/>
  <c r="AG39" i="1"/>
  <c r="AT39" i="1"/>
  <c r="AU39" i="1"/>
  <c r="AV39" i="1"/>
  <c r="CR39" i="1" s="1"/>
  <c r="CP39" i="1" s="1"/>
  <c r="BI39" i="1"/>
  <c r="BQ39" i="1"/>
  <c r="BY39" i="1"/>
  <c r="CD39" i="1"/>
  <c r="CF39" i="1"/>
  <c r="CK39" i="1"/>
  <c r="CM39" i="1"/>
  <c r="CS39" i="1"/>
  <c r="CT39" i="1" s="1"/>
  <c r="CU39" i="1"/>
  <c r="S41" i="1"/>
  <c r="V41" i="1"/>
  <c r="W41" i="1" s="1"/>
  <c r="AB41" i="1"/>
  <c r="AC41" i="1" s="1"/>
  <c r="AG41" i="1"/>
  <c r="AT41" i="1"/>
  <c r="AU41" i="1"/>
  <c r="AV41" i="1"/>
  <c r="CR41" i="1" s="1"/>
  <c r="CN41" i="1" s="1"/>
  <c r="BI41" i="1"/>
  <c r="BQ41" i="1"/>
  <c r="BY41" i="1"/>
  <c r="CD41" i="1"/>
  <c r="CF41" i="1"/>
  <c r="CK41" i="1"/>
  <c r="CM41" i="1"/>
  <c r="CS41" i="1"/>
  <c r="CT41" i="1" s="1"/>
  <c r="CU41" i="1"/>
  <c r="S42" i="1"/>
  <c r="V42" i="1"/>
  <c r="W42" i="1" s="1"/>
  <c r="AB42" i="1"/>
  <c r="AC42" i="1" s="1"/>
  <c r="AG42" i="1"/>
  <c r="AT42" i="1"/>
  <c r="AU42" i="1"/>
  <c r="AV42" i="1"/>
  <c r="CR42" i="1" s="1"/>
  <c r="BI42" i="1"/>
  <c r="BQ42" i="1"/>
  <c r="BY42" i="1"/>
  <c r="CD42" i="1"/>
  <c r="CF42" i="1"/>
  <c r="CK42" i="1"/>
  <c r="CM42" i="1"/>
  <c r="DD42" i="1" s="1"/>
  <c r="CS42" i="1"/>
  <c r="CT42" i="1" s="1"/>
  <c r="CU42" i="1"/>
  <c r="S44" i="1"/>
  <c r="V44" i="1"/>
  <c r="W44" i="1" s="1"/>
  <c r="AB44" i="1"/>
  <c r="AC44" i="1" s="1"/>
  <c r="AG44" i="1"/>
  <c r="AT44" i="1"/>
  <c r="AU44" i="1"/>
  <c r="AV44" i="1"/>
  <c r="CR44" i="1" s="1"/>
  <c r="BI44" i="1"/>
  <c r="BQ44" i="1"/>
  <c r="BY44" i="1"/>
  <c r="CD44" i="1"/>
  <c r="CF44" i="1"/>
  <c r="CK44" i="1"/>
  <c r="CM44" i="1"/>
  <c r="CS44" i="1"/>
  <c r="CT44" i="1" s="1"/>
  <c r="CU44" i="1"/>
  <c r="S45" i="1"/>
  <c r="V45" i="1"/>
  <c r="W45" i="1" s="1"/>
  <c r="AB45" i="1"/>
  <c r="AC45" i="1" s="1"/>
  <c r="AG45" i="1"/>
  <c r="AT45" i="1"/>
  <c r="AU45" i="1"/>
  <c r="AV45" i="1"/>
  <c r="CR45" i="1" s="1"/>
  <c r="CN45" i="1" s="1"/>
  <c r="BI45" i="1"/>
  <c r="BQ45" i="1"/>
  <c r="BY45" i="1"/>
  <c r="CD45" i="1"/>
  <c r="CF45" i="1"/>
  <c r="CK45" i="1"/>
  <c r="CM45" i="1"/>
  <c r="CS45" i="1"/>
  <c r="CT45" i="1" s="1"/>
  <c r="CU45" i="1"/>
  <c r="S46" i="1"/>
  <c r="V46" i="1"/>
  <c r="W46" i="1" s="1"/>
  <c r="AB46" i="1"/>
  <c r="AC46" i="1" s="1"/>
  <c r="AG46" i="1"/>
  <c r="AT46" i="1"/>
  <c r="AU46" i="1"/>
  <c r="AV46" i="1"/>
  <c r="BI46" i="1"/>
  <c r="BQ46" i="1"/>
  <c r="BY46" i="1"/>
  <c r="CD46" i="1"/>
  <c r="CF46" i="1"/>
  <c r="DA46" i="1" s="1"/>
  <c r="CK46" i="1"/>
  <c r="CM46" i="1"/>
  <c r="CS46" i="1"/>
  <c r="CT46" i="1" s="1"/>
  <c r="CU46" i="1"/>
  <c r="CX46" i="1"/>
  <c r="S47" i="1"/>
  <c r="V47" i="1"/>
  <c r="W47" i="1" s="1"/>
  <c r="AB47" i="1"/>
  <c r="AC47" i="1" s="1"/>
  <c r="AG47" i="1"/>
  <c r="AT47" i="1"/>
  <c r="AU47" i="1"/>
  <c r="AV47" i="1"/>
  <c r="CR47" i="1" s="1"/>
  <c r="CP47" i="1" s="1"/>
  <c r="BI47" i="1"/>
  <c r="BQ47" i="1"/>
  <c r="BY47" i="1"/>
  <c r="CV47" i="1" s="1"/>
  <c r="CD47" i="1"/>
  <c r="CF47" i="1"/>
  <c r="CK47" i="1"/>
  <c r="CM47" i="1"/>
  <c r="DD47" i="1" s="1"/>
  <c r="CS47" i="1"/>
  <c r="CT47" i="1" s="1"/>
  <c r="CU47" i="1"/>
  <c r="CW47" i="1"/>
  <c r="S100" i="1"/>
  <c r="V100" i="1"/>
  <c r="W100" i="1" s="1"/>
  <c r="X100" i="1"/>
  <c r="AB100" i="1" s="1"/>
  <c r="AC100" i="1" s="1"/>
  <c r="AG100" i="1"/>
  <c r="AT100" i="1"/>
  <c r="AU100" i="1"/>
  <c r="AV100" i="1"/>
  <c r="BI100" i="1"/>
  <c r="BQ100" i="1"/>
  <c r="BY100" i="1"/>
  <c r="CD100" i="1"/>
  <c r="CF100" i="1"/>
  <c r="CK100" i="1"/>
  <c r="CM100" i="1"/>
  <c r="CS100" i="1"/>
  <c r="CU100" i="1"/>
  <c r="S48" i="1"/>
  <c r="V48" i="1"/>
  <c r="W48" i="1" s="1"/>
  <c r="AB48" i="1"/>
  <c r="AC48" i="1" s="1"/>
  <c r="AG48" i="1"/>
  <c r="AT48" i="1"/>
  <c r="AU48" i="1"/>
  <c r="AV48" i="1"/>
  <c r="CR48" i="1" s="1"/>
  <c r="CN48" i="1" s="1"/>
  <c r="BI48" i="1"/>
  <c r="BQ48" i="1"/>
  <c r="BY48" i="1"/>
  <c r="CD48" i="1"/>
  <c r="CF48" i="1"/>
  <c r="CK48" i="1"/>
  <c r="CM48" i="1"/>
  <c r="CW48" i="1" s="1"/>
  <c r="CS48" i="1"/>
  <c r="CU48" i="1"/>
  <c r="S49" i="1"/>
  <c r="V49" i="1"/>
  <c r="W49" i="1" s="1"/>
  <c r="AB49" i="1"/>
  <c r="AC49" i="1" s="1"/>
  <c r="AG49" i="1"/>
  <c r="AT49" i="1"/>
  <c r="AU49" i="1"/>
  <c r="AV49" i="1"/>
  <c r="CR49" i="1" s="1"/>
  <c r="CP49" i="1" s="1"/>
  <c r="BI49" i="1"/>
  <c r="BQ49" i="1"/>
  <c r="BY49" i="1"/>
  <c r="CV49" i="1" s="1"/>
  <c r="CD49" i="1"/>
  <c r="CF49" i="1"/>
  <c r="CK49" i="1"/>
  <c r="CM49" i="1"/>
  <c r="CW49" i="1" s="1"/>
  <c r="CS49" i="1"/>
  <c r="CU49" i="1"/>
  <c r="S51" i="1"/>
  <c r="V51" i="1"/>
  <c r="W51" i="1" s="1"/>
  <c r="AB51" i="1"/>
  <c r="AC51" i="1" s="1"/>
  <c r="AG51" i="1"/>
  <c r="AT51" i="1"/>
  <c r="AU51" i="1"/>
  <c r="AV51" i="1"/>
  <c r="CR51" i="1" s="1"/>
  <c r="CP51" i="1" s="1"/>
  <c r="BI51" i="1"/>
  <c r="BQ51" i="1"/>
  <c r="BY51" i="1"/>
  <c r="CV51" i="1" s="1"/>
  <c r="CD51" i="1"/>
  <c r="CF51" i="1"/>
  <c r="DC51" i="1" s="1"/>
  <c r="CK51" i="1"/>
  <c r="CM51" i="1"/>
  <c r="CW51" i="1" s="1"/>
  <c r="CS51" i="1"/>
  <c r="CU51" i="1"/>
  <c r="CX51" i="1"/>
  <c r="S52" i="1"/>
  <c r="V52" i="1"/>
  <c r="W52" i="1" s="1"/>
  <c r="AC52" i="1"/>
  <c r="AG52" i="1"/>
  <c r="AT52" i="1"/>
  <c r="AU52" i="1"/>
  <c r="AV52" i="1"/>
  <c r="CR52" i="1" s="1"/>
  <c r="CP52" i="1" s="1"/>
  <c r="BI52" i="1"/>
  <c r="BQ52" i="1"/>
  <c r="BY52" i="1"/>
  <c r="CD52" i="1"/>
  <c r="CF52" i="1"/>
  <c r="CK52" i="1"/>
  <c r="CM52" i="1"/>
  <c r="CS52" i="1"/>
  <c r="CU52" i="1"/>
  <c r="S54" i="1"/>
  <c r="V54" i="1"/>
  <c r="W54" i="1" s="1"/>
  <c r="AB54" i="1"/>
  <c r="AC54" i="1" s="1"/>
  <c r="AG54" i="1"/>
  <c r="AT54" i="1"/>
  <c r="AU54" i="1"/>
  <c r="AV54" i="1"/>
  <c r="BI54" i="1"/>
  <c r="BQ54" i="1"/>
  <c r="BY54" i="1"/>
  <c r="CD54" i="1"/>
  <c r="CF54" i="1"/>
  <c r="CK54" i="1"/>
  <c r="CM54" i="1"/>
  <c r="CS54" i="1"/>
  <c r="CU54" i="1"/>
  <c r="S55" i="1"/>
  <c r="V55" i="1"/>
  <c r="W55" i="1" s="1"/>
  <c r="X55" i="1"/>
  <c r="AB55" i="1" s="1"/>
  <c r="AC55" i="1" s="1"/>
  <c r="AG55" i="1"/>
  <c r="AT55" i="1"/>
  <c r="AU55" i="1"/>
  <c r="AV55" i="1"/>
  <c r="CR55" i="1" s="1"/>
  <c r="CP55" i="1" s="1"/>
  <c r="BI55" i="1"/>
  <c r="BY55" i="1"/>
  <c r="CD55" i="1"/>
  <c r="CF55" i="1"/>
  <c r="CK55" i="1"/>
  <c r="CM55" i="1"/>
  <c r="CS55" i="1"/>
  <c r="CU55" i="1"/>
  <c r="S56" i="1"/>
  <c r="V56" i="1"/>
  <c r="W56" i="1" s="1"/>
  <c r="AB56" i="1"/>
  <c r="AC56" i="1" s="1"/>
  <c r="AG56" i="1"/>
  <c r="AT56" i="1"/>
  <c r="AU56" i="1"/>
  <c r="AV56" i="1"/>
  <c r="CR56" i="1" s="1"/>
  <c r="CP56" i="1" s="1"/>
  <c r="BI56" i="1"/>
  <c r="BY56" i="1"/>
  <c r="CD56" i="1"/>
  <c r="CF56" i="1"/>
  <c r="DA56" i="1" s="1"/>
  <c r="CM56" i="1"/>
  <c r="CS56" i="1"/>
  <c r="CU56" i="1"/>
  <c r="CX56" i="1"/>
  <c r="S196" i="1"/>
  <c r="V196" i="1"/>
  <c r="W196" i="1" s="1"/>
  <c r="AB196" i="1"/>
  <c r="AC196" i="1" s="1"/>
  <c r="AG196" i="1"/>
  <c r="AT196" i="1"/>
  <c r="AU196" i="1"/>
  <c r="AV196" i="1"/>
  <c r="BI196" i="1"/>
  <c r="BQ196" i="1"/>
  <c r="BY196" i="1"/>
  <c r="CD196" i="1"/>
  <c r="CF196" i="1"/>
  <c r="CK196" i="1"/>
  <c r="CM196" i="1"/>
  <c r="DD196" i="1" s="1"/>
  <c r="CS196" i="1"/>
  <c r="CT196" i="1" s="1"/>
  <c r="CU196" i="1"/>
  <c r="CW196" i="1"/>
  <c r="S58" i="1"/>
  <c r="V58" i="1"/>
  <c r="W58" i="1" s="1"/>
  <c r="AB58" i="1"/>
  <c r="AC58" i="1" s="1"/>
  <c r="AG58" i="1"/>
  <c r="AT58" i="1"/>
  <c r="AU58" i="1"/>
  <c r="AV58" i="1"/>
  <c r="CR58" i="1" s="1"/>
  <c r="BI58" i="1"/>
  <c r="BQ58" i="1"/>
  <c r="BY58" i="1"/>
  <c r="CV58" i="1" s="1"/>
  <c r="CD58" i="1"/>
  <c r="CF58" i="1"/>
  <c r="CK58" i="1"/>
  <c r="CM58" i="1"/>
  <c r="DD58" i="1" s="1"/>
  <c r="CS58" i="1"/>
  <c r="CU58" i="1"/>
  <c r="CW58" i="1"/>
  <c r="S59" i="1"/>
  <c r="V59" i="1"/>
  <c r="W59" i="1" s="1"/>
  <c r="AB59" i="1"/>
  <c r="AC59" i="1" s="1"/>
  <c r="AG59" i="1"/>
  <c r="AT59" i="1"/>
  <c r="AU59" i="1"/>
  <c r="AV59" i="1"/>
  <c r="CR59" i="1" s="1"/>
  <c r="CN59" i="1" s="1"/>
  <c r="BI59" i="1"/>
  <c r="BQ59" i="1"/>
  <c r="BY59" i="1"/>
  <c r="CD59" i="1"/>
  <c r="CF59" i="1"/>
  <c r="CK59" i="1"/>
  <c r="CM59" i="1"/>
  <c r="CS59" i="1"/>
  <c r="CU59" i="1"/>
  <c r="S60" i="1"/>
  <c r="V60" i="1"/>
  <c r="W60" i="1" s="1"/>
  <c r="AB60" i="1"/>
  <c r="AC60" i="1" s="1"/>
  <c r="AG60" i="1"/>
  <c r="AT60" i="1"/>
  <c r="AU60" i="1"/>
  <c r="AV60" i="1"/>
  <c r="CR60" i="1" s="1"/>
  <c r="CP60" i="1" s="1"/>
  <c r="BI60" i="1"/>
  <c r="BQ60" i="1"/>
  <c r="BY60" i="1"/>
  <c r="CD60" i="1"/>
  <c r="CF60" i="1"/>
  <c r="CK60" i="1"/>
  <c r="CM60" i="1"/>
  <c r="CS60" i="1"/>
  <c r="CT60" i="1" s="1"/>
  <c r="CU60" i="1"/>
  <c r="S61" i="1"/>
  <c r="V61" i="1"/>
  <c r="W61" i="1" s="1"/>
  <c r="AB61" i="1"/>
  <c r="AC61" i="1" s="1"/>
  <c r="AG61" i="1"/>
  <c r="AT61" i="1"/>
  <c r="AU61" i="1"/>
  <c r="AV61" i="1"/>
  <c r="CR61" i="1" s="1"/>
  <c r="CP61" i="1" s="1"/>
  <c r="BI61" i="1"/>
  <c r="BQ61" i="1"/>
  <c r="BY61" i="1"/>
  <c r="CD61" i="1"/>
  <c r="CF61" i="1"/>
  <c r="CK61" i="1"/>
  <c r="CM61" i="1"/>
  <c r="CS61" i="1"/>
  <c r="CT61" i="1" s="1"/>
  <c r="CU61" i="1"/>
  <c r="CW61" i="1"/>
  <c r="S62" i="1"/>
  <c r="V62" i="1"/>
  <c r="W62" i="1" s="1"/>
  <c r="AB62" i="1"/>
  <c r="AC62" i="1" s="1"/>
  <c r="AG62" i="1"/>
  <c r="AT62" i="1"/>
  <c r="AU62" i="1"/>
  <c r="AV62" i="1"/>
  <c r="CR62" i="1" s="1"/>
  <c r="CN62" i="1" s="1"/>
  <c r="BI62" i="1"/>
  <c r="BQ62" i="1"/>
  <c r="BY62" i="1"/>
  <c r="CD62" i="1"/>
  <c r="CF62" i="1"/>
  <c r="CK62" i="1"/>
  <c r="CM62" i="1"/>
  <c r="CW62" i="1" s="1"/>
  <c r="CS62" i="1"/>
  <c r="CT62" i="1" s="1"/>
  <c r="CU62" i="1"/>
  <c r="S63" i="1"/>
  <c r="V63" i="1"/>
  <c r="W63" i="1" s="1"/>
  <c r="AB63" i="1"/>
  <c r="AC63" i="1" s="1"/>
  <c r="AG63" i="1"/>
  <c r="AT63" i="1"/>
  <c r="AU63" i="1"/>
  <c r="AV63" i="1"/>
  <c r="CR63" i="1" s="1"/>
  <c r="CN63" i="1" s="1"/>
  <c r="BI63" i="1"/>
  <c r="BQ63" i="1"/>
  <c r="BY63" i="1"/>
  <c r="CD63" i="1"/>
  <c r="CF63" i="1"/>
  <c r="CK63" i="1"/>
  <c r="CM63" i="1"/>
  <c r="CW63" i="1" s="1"/>
  <c r="CS63" i="1"/>
  <c r="CT63" i="1" s="1"/>
  <c r="CU63" i="1"/>
  <c r="S64" i="1"/>
  <c r="V64" i="1"/>
  <c r="W64" i="1" s="1"/>
  <c r="X64" i="1"/>
  <c r="AB64" i="1" s="1"/>
  <c r="AC64" i="1" s="1"/>
  <c r="AG64" i="1"/>
  <c r="AT64" i="1"/>
  <c r="AU64" i="1"/>
  <c r="AV64" i="1"/>
  <c r="CR64" i="1" s="1"/>
  <c r="BI64" i="1"/>
  <c r="CV64" i="1" s="1"/>
  <c r="CD64" i="1"/>
  <c r="CF64" i="1"/>
  <c r="CK64" i="1"/>
  <c r="CM64" i="1"/>
  <c r="CW64" i="1" s="1"/>
  <c r="CS64" i="1"/>
  <c r="CT64" i="1" s="1"/>
  <c r="CU64" i="1"/>
  <c r="S66" i="1"/>
  <c r="V66" i="1"/>
  <c r="W66" i="1" s="1"/>
  <c r="AB66" i="1"/>
  <c r="AC66" i="1" s="1"/>
  <c r="AG66" i="1"/>
  <c r="AT66" i="1"/>
  <c r="AU66" i="1"/>
  <c r="AV66" i="1"/>
  <c r="CR66" i="1" s="1"/>
  <c r="CN66" i="1" s="1"/>
  <c r="BI66" i="1"/>
  <c r="BQ66" i="1"/>
  <c r="BY66" i="1"/>
  <c r="CD66" i="1"/>
  <c r="CF66" i="1"/>
  <c r="CK66" i="1"/>
  <c r="CM66" i="1"/>
  <c r="CW66" i="1" s="1"/>
  <c r="CS66" i="1"/>
  <c r="CU66" i="1"/>
  <c r="S67" i="1"/>
  <c r="V67" i="1"/>
  <c r="W67" i="1" s="1"/>
  <c r="AB67" i="1"/>
  <c r="AC67" i="1" s="1"/>
  <c r="AG67" i="1"/>
  <c r="AT67" i="1"/>
  <c r="AU67" i="1"/>
  <c r="AV67" i="1"/>
  <c r="CR67" i="1" s="1"/>
  <c r="CN67" i="1" s="1"/>
  <c r="BI67" i="1"/>
  <c r="BQ67" i="1"/>
  <c r="BY67" i="1"/>
  <c r="CV67" i="1" s="1"/>
  <c r="CD67" i="1"/>
  <c r="CF67" i="1"/>
  <c r="CK67" i="1"/>
  <c r="CM67" i="1"/>
  <c r="CW67" i="1" s="1"/>
  <c r="CS67" i="1"/>
  <c r="CU67" i="1"/>
  <c r="S68" i="1"/>
  <c r="V68" i="1"/>
  <c r="W68" i="1" s="1"/>
  <c r="AB68" i="1"/>
  <c r="AC68" i="1" s="1"/>
  <c r="AG68" i="1"/>
  <c r="AT68" i="1"/>
  <c r="AU68" i="1"/>
  <c r="AV68" i="1"/>
  <c r="CR68" i="1" s="1"/>
  <c r="CP68" i="1" s="1"/>
  <c r="BI68" i="1"/>
  <c r="BQ68" i="1"/>
  <c r="BY68" i="1"/>
  <c r="CV68" i="1" s="1"/>
  <c r="CD68" i="1"/>
  <c r="CF68" i="1"/>
  <c r="CK68" i="1"/>
  <c r="CM68" i="1"/>
  <c r="DD68" i="1" s="1"/>
  <c r="CS68" i="1"/>
  <c r="CU68" i="1"/>
  <c r="S70" i="1"/>
  <c r="V70" i="1"/>
  <c r="W70" i="1" s="1"/>
  <c r="AB70" i="1"/>
  <c r="AC70" i="1" s="1"/>
  <c r="AG70" i="1"/>
  <c r="AT70" i="1"/>
  <c r="AU70" i="1"/>
  <c r="AV70" i="1"/>
  <c r="CR70" i="1" s="1"/>
  <c r="CN70" i="1" s="1"/>
  <c r="BI70" i="1"/>
  <c r="BQ70" i="1"/>
  <c r="BY70" i="1"/>
  <c r="CV70" i="1" s="1"/>
  <c r="CD70" i="1"/>
  <c r="CF70" i="1"/>
  <c r="CK70" i="1"/>
  <c r="CM70" i="1"/>
  <c r="CW70" i="1" s="1"/>
  <c r="CS70" i="1"/>
  <c r="CU70" i="1"/>
  <c r="S207" i="1"/>
  <c r="V207" i="1"/>
  <c r="W207" i="1" s="1"/>
  <c r="AB207" i="1"/>
  <c r="AC207" i="1" s="1"/>
  <c r="AG207" i="1"/>
  <c r="AT207" i="1"/>
  <c r="AU207" i="1"/>
  <c r="CO207" i="1" s="1"/>
  <c r="AV207" i="1"/>
  <c r="CR207" i="1" s="1"/>
  <c r="CN207" i="1" s="1"/>
  <c r="BI207" i="1"/>
  <c r="BQ207" i="1"/>
  <c r="BY207" i="1"/>
  <c r="CV207" i="1" s="1"/>
  <c r="CD207" i="1"/>
  <c r="CF207" i="1"/>
  <c r="DC207" i="1" s="1"/>
  <c r="CK207" i="1"/>
  <c r="CM207" i="1"/>
  <c r="CW207" i="1" s="1"/>
  <c r="CS207" i="1"/>
  <c r="CU207" i="1"/>
  <c r="CX207" i="1"/>
  <c r="S72" i="1"/>
  <c r="V72" i="1"/>
  <c r="W72" i="1" s="1"/>
  <c r="AB72" i="1"/>
  <c r="AC72" i="1" s="1"/>
  <c r="AG72" i="1"/>
  <c r="AT72" i="1"/>
  <c r="AU72" i="1"/>
  <c r="AV72" i="1"/>
  <c r="CR72" i="1" s="1"/>
  <c r="CN72" i="1" s="1"/>
  <c r="BI72" i="1"/>
  <c r="BQ72" i="1"/>
  <c r="BY72" i="1"/>
  <c r="CD72" i="1"/>
  <c r="CF72" i="1"/>
  <c r="CK72" i="1"/>
  <c r="CM72" i="1"/>
  <c r="CS72" i="1"/>
  <c r="CU72" i="1"/>
  <c r="S211" i="1"/>
  <c r="V211" i="1"/>
  <c r="W211" i="1" s="1"/>
  <c r="AB211" i="1"/>
  <c r="AC211" i="1" s="1"/>
  <c r="AG211" i="1"/>
  <c r="AT211" i="1"/>
  <c r="AU211" i="1"/>
  <c r="AV211" i="1"/>
  <c r="CR211" i="1" s="1"/>
  <c r="BI211" i="1"/>
  <c r="BQ211" i="1"/>
  <c r="BY211" i="1"/>
  <c r="CD211" i="1"/>
  <c r="CF211" i="1"/>
  <c r="CK211" i="1"/>
  <c r="CM211" i="1"/>
  <c r="CS211" i="1"/>
  <c r="CU211" i="1"/>
  <c r="S73" i="1"/>
  <c r="V73" i="1"/>
  <c r="W73" i="1" s="1"/>
  <c r="AB73" i="1"/>
  <c r="AC73" i="1" s="1"/>
  <c r="AG73" i="1"/>
  <c r="AT73" i="1"/>
  <c r="AU73" i="1"/>
  <c r="AV73" i="1"/>
  <c r="CR73" i="1" s="1"/>
  <c r="CP73" i="1" s="1"/>
  <c r="BI73" i="1"/>
  <c r="CD73" i="1"/>
  <c r="CK73" i="1"/>
  <c r="CM73" i="1"/>
  <c r="DA73" i="1"/>
  <c r="DC73" i="1"/>
  <c r="S213" i="1"/>
  <c r="V213" i="1"/>
  <c r="W213" i="1" s="1"/>
  <c r="AB213" i="1"/>
  <c r="AC213" i="1" s="1"/>
  <c r="AG213" i="1"/>
  <c r="AT213" i="1"/>
  <c r="AU213" i="1"/>
  <c r="AV213" i="1"/>
  <c r="BI213" i="1"/>
  <c r="BQ213" i="1"/>
  <c r="BY213" i="1"/>
  <c r="CD213" i="1"/>
  <c r="CF213" i="1"/>
  <c r="CK213" i="1"/>
  <c r="CM213" i="1"/>
  <c r="DD213" i="1" s="1"/>
  <c r="CS213" i="1"/>
  <c r="CT213" i="1" s="1"/>
  <c r="CU213" i="1"/>
  <c r="CW213" i="1"/>
  <c r="S76" i="1"/>
  <c r="V76" i="1"/>
  <c r="W76" i="1" s="1"/>
  <c r="AB76" i="1"/>
  <c r="AC76" i="1" s="1"/>
  <c r="AG76" i="1"/>
  <c r="AT76" i="1"/>
  <c r="AU76" i="1"/>
  <c r="AV76" i="1"/>
  <c r="CR76" i="1" s="1"/>
  <c r="BI76" i="1"/>
  <c r="BQ76" i="1"/>
  <c r="BY76" i="1"/>
  <c r="CV76" i="1" s="1"/>
  <c r="CD76" i="1"/>
  <c r="CF76" i="1"/>
  <c r="CK76" i="1"/>
  <c r="CM76" i="1"/>
  <c r="DD76" i="1" s="1"/>
  <c r="CS76" i="1"/>
  <c r="CT76" i="1" s="1"/>
  <c r="CU76" i="1"/>
  <c r="CW76" i="1"/>
  <c r="S217" i="1"/>
  <c r="V217" i="1"/>
  <c r="W217" i="1" s="1"/>
  <c r="X217" i="1"/>
  <c r="AB217" i="1" s="1"/>
  <c r="AC217" i="1" s="1"/>
  <c r="AG217" i="1"/>
  <c r="AT217" i="1"/>
  <c r="AU217" i="1"/>
  <c r="AV217" i="1"/>
  <c r="CR217" i="1" s="1"/>
  <c r="CN217" i="1" s="1"/>
  <c r="BI217" i="1"/>
  <c r="BQ217" i="1"/>
  <c r="BY217" i="1"/>
  <c r="CV217" i="1" s="1"/>
  <c r="CD217" i="1"/>
  <c r="CF217" i="1"/>
  <c r="CK217" i="1"/>
  <c r="CM217" i="1"/>
  <c r="CW217" i="1" s="1"/>
  <c r="CS217" i="1"/>
  <c r="CU217" i="1"/>
  <c r="S218" i="1"/>
  <c r="V218" i="1"/>
  <c r="W218" i="1" s="1"/>
  <c r="AB218" i="1"/>
  <c r="AC218" i="1" s="1"/>
  <c r="AG218" i="1"/>
  <c r="AT218" i="1"/>
  <c r="AU218" i="1"/>
  <c r="AV218" i="1"/>
  <c r="CR218" i="1" s="1"/>
  <c r="CN218" i="1" s="1"/>
  <c r="BI218" i="1"/>
  <c r="BQ218" i="1"/>
  <c r="BY218" i="1"/>
  <c r="CD218" i="1"/>
  <c r="CF218" i="1"/>
  <c r="DA218" i="1" s="1"/>
  <c r="CK218" i="1"/>
  <c r="CM218" i="1"/>
  <c r="CW218" i="1" s="1"/>
  <c r="CY218" i="1" s="1"/>
  <c r="H218" i="1" s="1"/>
  <c r="CS218" i="1"/>
  <c r="CU218" i="1"/>
  <c r="CX218" i="1"/>
  <c r="S219" i="1"/>
  <c r="V219" i="1"/>
  <c r="W219" i="1" s="1"/>
  <c r="AB219" i="1"/>
  <c r="AC219" i="1" s="1"/>
  <c r="AG219" i="1"/>
  <c r="AT219" i="1"/>
  <c r="AU219" i="1"/>
  <c r="AV219" i="1"/>
  <c r="CR219" i="1" s="1"/>
  <c r="BI219" i="1"/>
  <c r="BQ219" i="1"/>
  <c r="BY219" i="1"/>
  <c r="CD219" i="1"/>
  <c r="CF219" i="1"/>
  <c r="CK219" i="1"/>
  <c r="CM219" i="1"/>
  <c r="CS219" i="1"/>
  <c r="CU219" i="1"/>
  <c r="S78" i="1"/>
  <c r="V78" i="1"/>
  <c r="W78" i="1" s="1"/>
  <c r="AB78" i="1"/>
  <c r="AC78" i="1" s="1"/>
  <c r="AG78" i="1"/>
  <c r="AT78" i="1"/>
  <c r="AU78" i="1"/>
  <c r="AV78" i="1"/>
  <c r="BI78" i="1"/>
  <c r="BQ78" i="1"/>
  <c r="BY78" i="1"/>
  <c r="CD78" i="1"/>
  <c r="CF78" i="1"/>
  <c r="CK78" i="1"/>
  <c r="CM78" i="1"/>
  <c r="DD78" i="1" s="1"/>
  <c r="CS78" i="1"/>
  <c r="CU78" i="1"/>
  <c r="CW78" i="1"/>
  <c r="S221" i="1"/>
  <c r="V221" i="1"/>
  <c r="W221" i="1" s="1"/>
  <c r="AB221" i="1"/>
  <c r="AC221" i="1" s="1"/>
  <c r="AG221" i="1"/>
  <c r="AT221" i="1"/>
  <c r="AU221" i="1"/>
  <c r="AV221" i="1"/>
  <c r="BI221" i="1"/>
  <c r="BQ221" i="1"/>
  <c r="BY221" i="1"/>
  <c r="CD221" i="1"/>
  <c r="CF221" i="1"/>
  <c r="CK221" i="1"/>
  <c r="CM221" i="1"/>
  <c r="CS221" i="1"/>
  <c r="CU221" i="1"/>
  <c r="S79" i="1"/>
  <c r="V79" i="1"/>
  <c r="W79" i="1" s="1"/>
  <c r="AB79" i="1"/>
  <c r="AC79" i="1" s="1"/>
  <c r="AG79" i="1"/>
  <c r="AT79" i="1"/>
  <c r="AU79" i="1"/>
  <c r="AV79" i="1"/>
  <c r="CR79" i="1" s="1"/>
  <c r="CP79" i="1" s="1"/>
  <c r="BI79" i="1"/>
  <c r="BQ79" i="1"/>
  <c r="BY79" i="1"/>
  <c r="CD79" i="1"/>
  <c r="CF79" i="1"/>
  <c r="CK79" i="1"/>
  <c r="CM79" i="1"/>
  <c r="CS79" i="1"/>
  <c r="CT79" i="1" s="1"/>
  <c r="CU79" i="1"/>
  <c r="CW79" i="1"/>
  <c r="S80" i="1"/>
  <c r="V80" i="1"/>
  <c r="W80" i="1" s="1"/>
  <c r="AB80" i="1"/>
  <c r="AC80" i="1" s="1"/>
  <c r="AG80" i="1"/>
  <c r="AT80" i="1"/>
  <c r="AU80" i="1"/>
  <c r="AV80" i="1"/>
  <c r="CR80" i="1" s="1"/>
  <c r="BI80" i="1"/>
  <c r="BQ80" i="1"/>
  <c r="BY80" i="1"/>
  <c r="CV80" i="1" s="1"/>
  <c r="CD80" i="1"/>
  <c r="CF80" i="1"/>
  <c r="CK80" i="1"/>
  <c r="CM80" i="1"/>
  <c r="CW80" i="1" s="1"/>
  <c r="CS80" i="1"/>
  <c r="CT80" i="1" s="1"/>
  <c r="CU80" i="1"/>
  <c r="S223" i="1"/>
  <c r="V223" i="1"/>
  <c r="W223" i="1" s="1"/>
  <c r="AB223" i="1"/>
  <c r="AC223" i="1" s="1"/>
  <c r="AG223" i="1"/>
  <c r="AT223" i="1"/>
  <c r="AU223" i="1"/>
  <c r="AV223" i="1"/>
  <c r="CR223" i="1" s="1"/>
  <c r="CN223" i="1" s="1"/>
  <c r="BI223" i="1"/>
  <c r="BQ223" i="1"/>
  <c r="BY223" i="1"/>
  <c r="CV223" i="1" s="1"/>
  <c r="CD223" i="1"/>
  <c r="CF223" i="1"/>
  <c r="CK223" i="1"/>
  <c r="CM223" i="1"/>
  <c r="CS223" i="1"/>
  <c r="CT223" i="1" s="1"/>
  <c r="CU223" i="1"/>
  <c r="S224" i="1"/>
  <c r="V224" i="1"/>
  <c r="W224" i="1" s="1"/>
  <c r="AB224" i="1"/>
  <c r="AC224" i="1" s="1"/>
  <c r="AG224" i="1"/>
  <c r="AT224" i="1"/>
  <c r="AU224" i="1"/>
  <c r="AV224" i="1"/>
  <c r="BI224" i="1"/>
  <c r="BQ224" i="1"/>
  <c r="BY224" i="1"/>
  <c r="CV224" i="1" s="1"/>
  <c r="CD224" i="1"/>
  <c r="CF224" i="1"/>
  <c r="CK224" i="1"/>
  <c r="CM224" i="1"/>
  <c r="CS224" i="1"/>
  <c r="CU224" i="1"/>
  <c r="S81" i="1"/>
  <c r="V81" i="1"/>
  <c r="W81" i="1" s="1"/>
  <c r="AB81" i="1"/>
  <c r="AC81" i="1" s="1"/>
  <c r="AG81" i="1"/>
  <c r="AT81" i="1"/>
  <c r="AU81" i="1"/>
  <c r="AV81" i="1"/>
  <c r="CR81" i="1" s="1"/>
  <c r="CP81" i="1" s="1"/>
  <c r="BI81" i="1"/>
  <c r="BQ81" i="1"/>
  <c r="BY81" i="1"/>
  <c r="CV81" i="1" s="1"/>
  <c r="CD81" i="1"/>
  <c r="CF81" i="1"/>
  <c r="CK81" i="1"/>
  <c r="CM81" i="1"/>
  <c r="DD81" i="1" s="1"/>
  <c r="CS81" i="1"/>
  <c r="CT81" i="1" s="1"/>
  <c r="CU81" i="1"/>
  <c r="CW81" i="1"/>
  <c r="S227" i="1"/>
  <c r="V227" i="1"/>
  <c r="W227" i="1" s="1"/>
  <c r="AB227" i="1"/>
  <c r="AC227" i="1" s="1"/>
  <c r="AG227" i="1"/>
  <c r="AT227" i="1"/>
  <c r="AU227" i="1"/>
  <c r="AV227" i="1"/>
  <c r="CR227" i="1" s="1"/>
  <c r="BI227" i="1"/>
  <c r="BQ227" i="1"/>
  <c r="BY227" i="1"/>
  <c r="CV227" i="1" s="1"/>
  <c r="CD227" i="1"/>
  <c r="CF227" i="1"/>
  <c r="CK227" i="1"/>
  <c r="CM227" i="1"/>
  <c r="DD227" i="1" s="1"/>
  <c r="CS227" i="1"/>
  <c r="CU227" i="1"/>
  <c r="CW227" i="1"/>
  <c r="S82" i="1"/>
  <c r="V82" i="1"/>
  <c r="W82" i="1" s="1"/>
  <c r="AB82" i="1"/>
  <c r="AC82" i="1" s="1"/>
  <c r="AG82" i="1"/>
  <c r="AT82" i="1"/>
  <c r="AU82" i="1"/>
  <c r="AV82" i="1"/>
  <c r="CR82" i="1" s="1"/>
  <c r="CP82" i="1" s="1"/>
  <c r="BI82" i="1"/>
  <c r="BQ82" i="1"/>
  <c r="BY82" i="1"/>
  <c r="CD82" i="1"/>
  <c r="CF82" i="1"/>
  <c r="CK82" i="1"/>
  <c r="CM82" i="1"/>
  <c r="CS82" i="1"/>
  <c r="CU82" i="1"/>
  <c r="S230" i="1"/>
  <c r="V230" i="1"/>
  <c r="W230" i="1" s="1"/>
  <c r="AB230" i="1"/>
  <c r="AC230" i="1" s="1"/>
  <c r="AG230" i="1"/>
  <c r="AT230" i="1"/>
  <c r="AU230" i="1"/>
  <c r="AV230" i="1"/>
  <c r="CR230" i="1" s="1"/>
  <c r="BI230" i="1"/>
  <c r="BQ230" i="1"/>
  <c r="BY230" i="1"/>
  <c r="CD230" i="1"/>
  <c r="CF230" i="1"/>
  <c r="CK230" i="1"/>
  <c r="CM230" i="1"/>
  <c r="DD230" i="1" s="1"/>
  <c r="CS230" i="1"/>
  <c r="CU230" i="1"/>
  <c r="CW230" i="1"/>
  <c r="S231" i="1"/>
  <c r="V231" i="1"/>
  <c r="W231" i="1" s="1"/>
  <c r="AB231" i="1"/>
  <c r="AC231" i="1" s="1"/>
  <c r="AG231" i="1"/>
  <c r="AT231" i="1"/>
  <c r="AU231" i="1"/>
  <c r="AV231" i="1"/>
  <c r="BI231" i="1"/>
  <c r="BQ231" i="1"/>
  <c r="BY231" i="1"/>
  <c r="CD231" i="1"/>
  <c r="CF231" i="1"/>
  <c r="CK231" i="1"/>
  <c r="CM231" i="1"/>
  <c r="CS231" i="1"/>
  <c r="CT231" i="1" s="1"/>
  <c r="CU231" i="1"/>
  <c r="S83" i="1"/>
  <c r="V83" i="1"/>
  <c r="W83" i="1" s="1"/>
  <c r="AB83" i="1"/>
  <c r="AC83" i="1" s="1"/>
  <c r="AG83" i="1"/>
  <c r="AT83" i="1"/>
  <c r="AU83" i="1"/>
  <c r="AV83" i="1"/>
  <c r="BI83" i="1"/>
  <c r="BQ83" i="1"/>
  <c r="BY83" i="1"/>
  <c r="CD83" i="1"/>
  <c r="CF83" i="1"/>
  <c r="CK83" i="1"/>
  <c r="CM83" i="1"/>
  <c r="CS83" i="1"/>
  <c r="CT83" i="1" s="1"/>
  <c r="CU83" i="1"/>
  <c r="S85" i="1"/>
  <c r="V85" i="1"/>
  <c r="W85" i="1" s="1"/>
  <c r="X85" i="1"/>
  <c r="AB85" i="1" s="1"/>
  <c r="AC85" i="1" s="1"/>
  <c r="AG85" i="1"/>
  <c r="AT85" i="1"/>
  <c r="AU85" i="1"/>
  <c r="AV85" i="1"/>
  <c r="CR85" i="1" s="1"/>
  <c r="CN85" i="1" s="1"/>
  <c r="BI85" i="1"/>
  <c r="BQ85" i="1"/>
  <c r="BY85" i="1"/>
  <c r="CD85" i="1"/>
  <c r="CF85" i="1"/>
  <c r="CK85" i="1"/>
  <c r="CM85" i="1"/>
  <c r="CS85" i="1"/>
  <c r="CT85" i="1" s="1"/>
  <c r="CU85" i="1"/>
  <c r="S86" i="1"/>
  <c r="V86" i="1"/>
  <c r="W86" i="1" s="1"/>
  <c r="AB86" i="1"/>
  <c r="AC86" i="1" s="1"/>
  <c r="AG86" i="1"/>
  <c r="AT86" i="1"/>
  <c r="AU86" i="1"/>
  <c r="AV86" i="1"/>
  <c r="CR86" i="1" s="1"/>
  <c r="CP86" i="1" s="1"/>
  <c r="BI86" i="1"/>
  <c r="BQ86" i="1"/>
  <c r="BY86" i="1"/>
  <c r="CD86" i="1"/>
  <c r="CF86" i="1"/>
  <c r="CK86" i="1"/>
  <c r="CM86" i="1"/>
  <c r="CS86" i="1"/>
  <c r="CT86" i="1" s="1"/>
  <c r="CU86" i="1"/>
  <c r="CX86" i="1"/>
  <c r="S237" i="1"/>
  <c r="V237" i="1"/>
  <c r="AB237" i="1"/>
  <c r="AC237" i="1" s="1"/>
  <c r="AG237" i="1"/>
  <c r="AT237" i="1"/>
  <c r="AU237" i="1"/>
  <c r="AV237" i="1"/>
  <c r="CR237" i="1" s="1"/>
  <c r="CP237" i="1" s="1"/>
  <c r="BI237" i="1"/>
  <c r="BQ237" i="1"/>
  <c r="BY237" i="1"/>
  <c r="CD237" i="1"/>
  <c r="CF237" i="1"/>
  <c r="CK237" i="1"/>
  <c r="CM237" i="1"/>
  <c r="CS237" i="1"/>
  <c r="CT237" i="1" s="1"/>
  <c r="CU237" i="1"/>
  <c r="S87" i="1"/>
  <c r="V87" i="1"/>
  <c r="W87" i="1" s="1"/>
  <c r="AB87" i="1"/>
  <c r="AC87" i="1" s="1"/>
  <c r="AG87" i="1"/>
  <c r="AT87" i="1"/>
  <c r="AU87" i="1"/>
  <c r="AV87" i="1"/>
  <c r="CR87" i="1" s="1"/>
  <c r="BI87" i="1"/>
  <c r="BQ87" i="1"/>
  <c r="BY87" i="1"/>
  <c r="CV87" i="1" s="1"/>
  <c r="CD87" i="1"/>
  <c r="CF87" i="1"/>
  <c r="DA87" i="1" s="1"/>
  <c r="CK87" i="1"/>
  <c r="CM87" i="1"/>
  <c r="CS87" i="1"/>
  <c r="CT87" i="1" s="1"/>
  <c r="CU87" i="1"/>
  <c r="CX87" i="1"/>
  <c r="S241" i="1"/>
  <c r="V241" i="1"/>
  <c r="W241" i="1" s="1"/>
  <c r="AB241" i="1"/>
  <c r="AC241" i="1" s="1"/>
  <c r="AG241" i="1"/>
  <c r="AT241" i="1"/>
  <c r="AU241" i="1"/>
  <c r="AV241" i="1"/>
  <c r="CR241" i="1" s="1"/>
  <c r="BI241" i="1"/>
  <c r="BQ241" i="1"/>
  <c r="BY241" i="1"/>
  <c r="CV241" i="1" s="1"/>
  <c r="CD241" i="1"/>
  <c r="CF241" i="1"/>
  <c r="CK241" i="1"/>
  <c r="CM241" i="1"/>
  <c r="DD241" i="1" s="1"/>
  <c r="CS241" i="1"/>
  <c r="CU241" i="1"/>
  <c r="CW241" i="1"/>
  <c r="S243" i="1"/>
  <c r="V243" i="1"/>
  <c r="W243" i="1" s="1"/>
  <c r="AB243" i="1"/>
  <c r="AC243" i="1" s="1"/>
  <c r="AG243" i="1"/>
  <c r="AT243" i="1"/>
  <c r="AU243" i="1"/>
  <c r="AV243" i="1"/>
  <c r="CR243" i="1" s="1"/>
  <c r="CP243" i="1" s="1"/>
  <c r="BI243" i="1"/>
  <c r="BQ243" i="1"/>
  <c r="BY243" i="1"/>
  <c r="CD243" i="1"/>
  <c r="CF243" i="1"/>
  <c r="CK243" i="1"/>
  <c r="CM243" i="1"/>
  <c r="DD243" i="1" s="1"/>
  <c r="CS243" i="1"/>
  <c r="CU243" i="1"/>
  <c r="CW243" i="1"/>
  <c r="S245" i="1"/>
  <c r="V245" i="1"/>
  <c r="W245" i="1" s="1"/>
  <c r="X245" i="1"/>
  <c r="AB245" i="1" s="1"/>
  <c r="AC245" i="1" s="1"/>
  <c r="AG245" i="1"/>
  <c r="AT245" i="1"/>
  <c r="AU245" i="1"/>
  <c r="AV245" i="1"/>
  <c r="CR245" i="1" s="1"/>
  <c r="BI245" i="1"/>
  <c r="BQ245" i="1"/>
  <c r="BY245" i="1"/>
  <c r="CD245" i="1"/>
  <c r="CF245" i="1"/>
  <c r="CK245" i="1"/>
  <c r="CM245" i="1"/>
  <c r="DD245" i="1" s="1"/>
  <c r="CS245" i="1"/>
  <c r="CU245" i="1"/>
  <c r="CW245" i="1"/>
  <c r="S88" i="1"/>
  <c r="V88" i="1"/>
  <c r="W88" i="1" s="1"/>
  <c r="AB88" i="1"/>
  <c r="AC88" i="1" s="1"/>
  <c r="AG88" i="1"/>
  <c r="AT88" i="1"/>
  <c r="AU88" i="1"/>
  <c r="AV88" i="1"/>
  <c r="CR88" i="1" s="1"/>
  <c r="CP88" i="1" s="1"/>
  <c r="BI88" i="1"/>
  <c r="CD88" i="1"/>
  <c r="CF88" i="1"/>
  <c r="CK88" i="1"/>
  <c r="CM88" i="1"/>
  <c r="CS88" i="1"/>
  <c r="CT88" i="1" s="1"/>
  <c r="CU88" i="1"/>
  <c r="S89" i="1"/>
  <c r="V89" i="1"/>
  <c r="W89" i="1" s="1"/>
  <c r="AB89" i="1"/>
  <c r="AC89" i="1" s="1"/>
  <c r="AG89" i="1"/>
  <c r="AT89" i="1"/>
  <c r="AU89" i="1"/>
  <c r="AV89" i="1"/>
  <c r="CR89" i="1" s="1"/>
  <c r="CN89" i="1" s="1"/>
  <c r="BI89" i="1"/>
  <c r="BQ89" i="1"/>
  <c r="BY89" i="1"/>
  <c r="CD89" i="1"/>
  <c r="CF89" i="1"/>
  <c r="CK89" i="1"/>
  <c r="CM89" i="1"/>
  <c r="CS89" i="1"/>
  <c r="CU89" i="1"/>
  <c r="S90" i="1"/>
  <c r="V90" i="1"/>
  <c r="W90" i="1" s="1"/>
  <c r="AB90" i="1"/>
  <c r="AC90" i="1" s="1"/>
  <c r="AG90" i="1"/>
  <c r="AT90" i="1"/>
  <c r="AU90" i="1"/>
  <c r="AV90" i="1"/>
  <c r="CR90" i="1" s="1"/>
  <c r="BI90" i="1"/>
  <c r="BQ90" i="1"/>
  <c r="BY90" i="1"/>
  <c r="CD90" i="1"/>
  <c r="CF90" i="1"/>
  <c r="CK90" i="1"/>
  <c r="CM90" i="1"/>
  <c r="DD90" i="1" s="1"/>
  <c r="CW90" i="1"/>
  <c r="CS90" i="1"/>
  <c r="CU90" i="1"/>
  <c r="S92" i="1"/>
  <c r="V92" i="1"/>
  <c r="W92" i="1" s="1"/>
  <c r="AB92" i="1"/>
  <c r="AC92" i="1" s="1"/>
  <c r="AG92" i="1"/>
  <c r="AT92" i="1"/>
  <c r="AU92" i="1"/>
  <c r="AV92" i="1"/>
  <c r="CR92" i="1" s="1"/>
  <c r="BI92" i="1"/>
  <c r="BQ92" i="1"/>
  <c r="BY92" i="1"/>
  <c r="CD92" i="1"/>
  <c r="CF92" i="1"/>
  <c r="CK92" i="1"/>
  <c r="CM92" i="1"/>
  <c r="DD92" i="1" s="1"/>
  <c r="CS92" i="1"/>
  <c r="CT92" i="1" s="1"/>
  <c r="CU92" i="1"/>
  <c r="CW92" i="1"/>
  <c r="S93" i="1"/>
  <c r="V93" i="1"/>
  <c r="W93" i="1" s="1"/>
  <c r="AB93" i="1"/>
  <c r="AC93" i="1" s="1"/>
  <c r="AG93" i="1"/>
  <c r="AT93" i="1"/>
  <c r="AU93" i="1"/>
  <c r="AV93" i="1"/>
  <c r="CR93" i="1" s="1"/>
  <c r="BI93" i="1"/>
  <c r="BQ93" i="1"/>
  <c r="BY93" i="1"/>
  <c r="CV93" i="1" s="1"/>
  <c r="CD93" i="1"/>
  <c r="CF93" i="1"/>
  <c r="CK93" i="1"/>
  <c r="CM93" i="1"/>
  <c r="CW93" i="1" s="1"/>
  <c r="CS93" i="1"/>
  <c r="CT93" i="1" s="1"/>
  <c r="CU93" i="1"/>
  <c r="S95" i="1"/>
  <c r="V95" i="1"/>
  <c r="W95" i="1" s="1"/>
  <c r="AB95" i="1"/>
  <c r="AC95" i="1" s="1"/>
  <c r="AG95" i="1"/>
  <c r="AT95" i="1"/>
  <c r="AU95" i="1"/>
  <c r="AV95" i="1"/>
  <c r="CR95" i="1" s="1"/>
  <c r="CN95" i="1" s="1"/>
  <c r="BI95" i="1"/>
  <c r="BQ95" i="1"/>
  <c r="BY95" i="1"/>
  <c r="CV95" i="1" s="1"/>
  <c r="CF95" i="1"/>
  <c r="CK95" i="1"/>
  <c r="CM95" i="1"/>
  <c r="CS95" i="1"/>
  <c r="CU95" i="1"/>
  <c r="S96" i="1"/>
  <c r="V96" i="1"/>
  <c r="W96" i="1" s="1"/>
  <c r="AB96" i="1"/>
  <c r="AC96" i="1" s="1"/>
  <c r="AG96" i="1"/>
  <c r="AT96" i="1"/>
  <c r="AU96" i="1"/>
  <c r="AV96" i="1"/>
  <c r="CR96" i="1" s="1"/>
  <c r="CP96" i="1" s="1"/>
  <c r="BI96" i="1"/>
  <c r="BQ96" i="1"/>
  <c r="BY96" i="1"/>
  <c r="CD96" i="1"/>
  <c r="CF96" i="1"/>
  <c r="CK96" i="1"/>
  <c r="CM96" i="1"/>
  <c r="DD96" i="1" s="1"/>
  <c r="CS96" i="1"/>
  <c r="CT96" i="1" s="1"/>
  <c r="CU96" i="1"/>
  <c r="CW96" i="1"/>
  <c r="S97" i="1"/>
  <c r="V97" i="1"/>
  <c r="W97" i="1" s="1"/>
  <c r="AB97" i="1"/>
  <c r="AC97" i="1" s="1"/>
  <c r="AG97" i="1"/>
  <c r="AT97" i="1"/>
  <c r="AU97" i="1"/>
  <c r="AV97" i="1"/>
  <c r="CR97" i="1" s="1"/>
  <c r="CN97" i="1" s="1"/>
  <c r="BI97" i="1"/>
  <c r="BQ97" i="1"/>
  <c r="BY97" i="1"/>
  <c r="CV97" i="1" s="1"/>
  <c r="CD97" i="1"/>
  <c r="CF97" i="1"/>
  <c r="CK97" i="1"/>
  <c r="CM97" i="1"/>
  <c r="CW97" i="1" s="1"/>
  <c r="CS97" i="1"/>
  <c r="CT97" i="1" s="1"/>
  <c r="CU97" i="1"/>
  <c r="S98" i="1"/>
  <c r="V98" i="1"/>
  <c r="W98" i="1" s="1"/>
  <c r="AB98" i="1"/>
  <c r="AC98" i="1" s="1"/>
  <c r="AG98" i="1"/>
  <c r="AT98" i="1"/>
  <c r="AU98" i="1"/>
  <c r="AV98" i="1"/>
  <c r="CR98" i="1" s="1"/>
  <c r="CP98" i="1" s="1"/>
  <c r="BI98" i="1"/>
  <c r="BQ98" i="1"/>
  <c r="BY98" i="1"/>
  <c r="CV98" i="1" s="1"/>
  <c r="CD98" i="1"/>
  <c r="CF98" i="1"/>
  <c r="CK98" i="1"/>
  <c r="CM98" i="1"/>
  <c r="CW98" i="1" s="1"/>
  <c r="CS98" i="1"/>
  <c r="CT98" i="1" s="1"/>
  <c r="CU98" i="1"/>
  <c r="S256" i="1"/>
  <c r="V256" i="1"/>
  <c r="W256" i="1" s="1"/>
  <c r="AB256" i="1"/>
  <c r="AC256" i="1" s="1"/>
  <c r="AG256" i="1"/>
  <c r="AT256" i="1"/>
  <c r="AU256" i="1"/>
  <c r="AV256" i="1"/>
  <c r="CR256" i="1" s="1"/>
  <c r="CP256" i="1" s="1"/>
  <c r="BI256" i="1"/>
  <c r="BQ256" i="1"/>
  <c r="BY256" i="1"/>
  <c r="CV256" i="1" s="1"/>
  <c r="CD256" i="1"/>
  <c r="CF256" i="1"/>
  <c r="CK256" i="1"/>
  <c r="CM256" i="1"/>
  <c r="DD256" i="1" s="1"/>
  <c r="CS256" i="1"/>
  <c r="CU256" i="1"/>
  <c r="CW256" i="1"/>
  <c r="S102" i="1"/>
  <c r="V102" i="1"/>
  <c r="W102" i="1" s="1"/>
  <c r="AB102" i="1"/>
  <c r="AC102" i="1" s="1"/>
  <c r="AG102" i="1"/>
  <c r="AT102" i="1"/>
  <c r="AU102" i="1"/>
  <c r="AV102" i="1"/>
  <c r="BI102" i="1"/>
  <c r="BQ102" i="1"/>
  <c r="BY102" i="1"/>
  <c r="CD102" i="1"/>
  <c r="CF102" i="1"/>
  <c r="CK102" i="1"/>
  <c r="CM102" i="1"/>
  <c r="CS102" i="1"/>
  <c r="CU102" i="1"/>
  <c r="S267" i="1"/>
  <c r="V267" i="1"/>
  <c r="W267" i="1" s="1"/>
  <c r="AB267" i="1"/>
  <c r="AC267" i="1" s="1"/>
  <c r="AG267" i="1"/>
  <c r="AT267" i="1"/>
  <c r="AU267" i="1"/>
  <c r="AV267" i="1"/>
  <c r="BI267" i="1"/>
  <c r="BQ267" i="1"/>
  <c r="CT267" i="1" s="1"/>
  <c r="BY267" i="1"/>
  <c r="CV267" i="1" s="1"/>
  <c r="CD267" i="1"/>
  <c r="CF267" i="1"/>
  <c r="CK267" i="1"/>
  <c r="CM267" i="1"/>
  <c r="CS267" i="1"/>
  <c r="CU267" i="1"/>
  <c r="S268" i="1"/>
  <c r="V268" i="1"/>
  <c r="W268" i="1" s="1"/>
  <c r="AB268" i="1"/>
  <c r="AC268" i="1" s="1"/>
  <c r="AG268" i="1"/>
  <c r="AT268" i="1"/>
  <c r="AU268" i="1"/>
  <c r="AV268" i="1"/>
  <c r="CR268" i="1" s="1"/>
  <c r="BI268" i="1"/>
  <c r="BQ268" i="1"/>
  <c r="BY268" i="1"/>
  <c r="CV268" i="1" s="1"/>
  <c r="CD268" i="1"/>
  <c r="CF268" i="1"/>
  <c r="CK268" i="1"/>
  <c r="CM268" i="1"/>
  <c r="DD268" i="1" s="1"/>
  <c r="CS268" i="1"/>
  <c r="CU268" i="1"/>
  <c r="CW268" i="1"/>
  <c r="S103" i="1"/>
  <c r="V103" i="1"/>
  <c r="W103" i="1" s="1"/>
  <c r="AB103" i="1"/>
  <c r="AC103" i="1" s="1"/>
  <c r="AG103" i="1"/>
  <c r="AT103" i="1"/>
  <c r="AU103" i="1"/>
  <c r="AV103" i="1"/>
  <c r="CR103" i="1" s="1"/>
  <c r="CN103" i="1" s="1"/>
  <c r="BI103" i="1"/>
  <c r="BQ103" i="1"/>
  <c r="BY103" i="1"/>
  <c r="CD103" i="1"/>
  <c r="CF103" i="1"/>
  <c r="CK103" i="1"/>
  <c r="CM103" i="1"/>
  <c r="CS103" i="1"/>
  <c r="CU103" i="1"/>
  <c r="S270" i="1"/>
  <c r="V270" i="1"/>
  <c r="W270" i="1" s="1"/>
  <c r="AB270" i="1"/>
  <c r="AC270" i="1" s="1"/>
  <c r="AG270" i="1"/>
  <c r="AT270" i="1"/>
  <c r="AU270" i="1"/>
  <c r="AV270" i="1"/>
  <c r="CR270" i="1" s="1"/>
  <c r="CP270" i="1" s="1"/>
  <c r="BI270" i="1"/>
  <c r="CV270" i="1" s="1"/>
  <c r="BQ270" i="1"/>
  <c r="CT270" i="1" s="1"/>
  <c r="BY270" i="1"/>
  <c r="CD270" i="1"/>
  <c r="CF270" i="1"/>
  <c r="CK270" i="1"/>
  <c r="CM270" i="1"/>
  <c r="CS270" i="1"/>
  <c r="CU270" i="1"/>
  <c r="CX270" i="1"/>
  <c r="S104" i="1"/>
  <c r="V104" i="1"/>
  <c r="W104" i="1" s="1"/>
  <c r="AB104" i="1"/>
  <c r="AC104" i="1" s="1"/>
  <c r="AG104" i="1"/>
  <c r="AT104" i="1"/>
  <c r="AU104" i="1"/>
  <c r="AV104" i="1"/>
  <c r="CR104" i="1" s="1"/>
  <c r="BI104" i="1"/>
  <c r="BQ104" i="1"/>
  <c r="BY104" i="1"/>
  <c r="CD104" i="1"/>
  <c r="CF104" i="1"/>
  <c r="CK104" i="1"/>
  <c r="CM104" i="1"/>
  <c r="DD104" i="1" s="1"/>
  <c r="CS104" i="1"/>
  <c r="CT104" i="1" s="1"/>
  <c r="CU104" i="1"/>
  <c r="CW104" i="1"/>
  <c r="S106" i="1"/>
  <c r="V106" i="1"/>
  <c r="W106" i="1" s="1"/>
  <c r="AB106" i="1"/>
  <c r="AC106" i="1" s="1"/>
  <c r="AG106" i="1"/>
  <c r="AT106" i="1"/>
  <c r="AU106" i="1"/>
  <c r="AV106" i="1"/>
  <c r="CR106" i="1" s="1"/>
  <c r="CP106" i="1" s="1"/>
  <c r="BI106" i="1"/>
  <c r="BQ106" i="1"/>
  <c r="BY106" i="1"/>
  <c r="CV106" i="1" s="1"/>
  <c r="CD106" i="1"/>
  <c r="CF106" i="1"/>
  <c r="CK106" i="1"/>
  <c r="CM106" i="1"/>
  <c r="DD106" i="1" s="1"/>
  <c r="CS106" i="1"/>
  <c r="CU106" i="1"/>
  <c r="CW106" i="1"/>
  <c r="S107" i="1"/>
  <c r="V107" i="1"/>
  <c r="W107" i="1" s="1"/>
  <c r="AB107" i="1"/>
  <c r="AC107" i="1" s="1"/>
  <c r="AG107" i="1"/>
  <c r="AT107" i="1"/>
  <c r="AU107" i="1"/>
  <c r="AV107" i="1"/>
  <c r="CR107" i="1" s="1"/>
  <c r="CN107" i="1" s="1"/>
  <c r="BI107" i="1"/>
  <c r="BQ107" i="1"/>
  <c r="BY107" i="1"/>
  <c r="CD107" i="1"/>
  <c r="CF107" i="1"/>
  <c r="DC107" i="1" s="1"/>
  <c r="CK107" i="1"/>
  <c r="CM107" i="1"/>
  <c r="CS107" i="1"/>
  <c r="CU107" i="1"/>
  <c r="CX107" i="1"/>
  <c r="S108" i="1"/>
  <c r="V108" i="1"/>
  <c r="W108" i="1" s="1"/>
  <c r="AB108" i="1"/>
  <c r="AC108" i="1" s="1"/>
  <c r="AG108" i="1"/>
  <c r="AT108" i="1"/>
  <c r="AU108" i="1"/>
  <c r="AV108" i="1"/>
  <c r="BI108" i="1"/>
  <c r="BQ108" i="1"/>
  <c r="BY108" i="1"/>
  <c r="CD108" i="1"/>
  <c r="CF108" i="1"/>
  <c r="CK108" i="1"/>
  <c r="CM108" i="1"/>
  <c r="CS108" i="1"/>
  <c r="CU108" i="1"/>
  <c r="S280" i="1"/>
  <c r="V280" i="1"/>
  <c r="W280" i="1" s="1"/>
  <c r="AB280" i="1"/>
  <c r="AC280" i="1" s="1"/>
  <c r="AG280" i="1"/>
  <c r="AT280" i="1"/>
  <c r="AU280" i="1"/>
  <c r="AV280" i="1"/>
  <c r="CR280" i="1" s="1"/>
  <c r="BI280" i="1"/>
  <c r="BQ280" i="1"/>
  <c r="BY280" i="1"/>
  <c r="CD280" i="1"/>
  <c r="CF280" i="1"/>
  <c r="DA280" i="1" s="1"/>
  <c r="CK280" i="1"/>
  <c r="CM280" i="1"/>
  <c r="CS280" i="1"/>
  <c r="CU280" i="1"/>
  <c r="CX280" i="1"/>
  <c r="S91" i="1"/>
  <c r="V91" i="1"/>
  <c r="W91" i="1" s="1"/>
  <c r="AB91" i="1"/>
  <c r="AC91" i="1" s="1"/>
  <c r="AG91" i="1"/>
  <c r="AT91" i="1"/>
  <c r="AU91" i="1"/>
  <c r="AV91" i="1"/>
  <c r="CR91" i="1" s="1"/>
  <c r="BI91" i="1"/>
  <c r="CS91" i="1"/>
  <c r="CT91" i="1" s="1"/>
  <c r="BY91" i="1"/>
  <c r="CD91" i="1"/>
  <c r="CF91" i="1"/>
  <c r="DC91" i="1" s="1"/>
  <c r="CK91" i="1"/>
  <c r="CM91" i="1"/>
  <c r="CU91" i="1"/>
  <c r="S23" i="1"/>
  <c r="V23" i="1"/>
  <c r="W23" i="1" s="1"/>
  <c r="AB23" i="1"/>
  <c r="AC23" i="1" s="1"/>
  <c r="AG23" i="1"/>
  <c r="AT23" i="1"/>
  <c r="AU23" i="1"/>
  <c r="AV23" i="1"/>
  <c r="CR23" i="1" s="1"/>
  <c r="BI23" i="1"/>
  <c r="BQ23" i="1"/>
  <c r="BY23" i="1"/>
  <c r="CD23" i="1"/>
  <c r="CF23" i="1"/>
  <c r="CK23" i="1"/>
  <c r="CM23" i="1"/>
  <c r="DD23" i="1" s="1"/>
  <c r="CS23" i="1"/>
  <c r="CU23" i="1"/>
  <c r="CW23" i="1"/>
  <c r="S111" i="1"/>
  <c r="V111" i="1"/>
  <c r="W111" i="1" s="1"/>
  <c r="AB111" i="1"/>
  <c r="AC111" i="1" s="1"/>
  <c r="AG111" i="1"/>
  <c r="AT111" i="1"/>
  <c r="AU111" i="1"/>
  <c r="AV111" i="1"/>
  <c r="CR111" i="1" s="1"/>
  <c r="CN111" i="1" s="1"/>
  <c r="BI111" i="1"/>
  <c r="BQ111" i="1"/>
  <c r="BY111" i="1"/>
  <c r="CD111" i="1"/>
  <c r="CF111" i="1"/>
  <c r="CK111" i="1"/>
  <c r="CM111" i="1"/>
  <c r="CS111" i="1"/>
  <c r="CT111" i="1" s="1"/>
  <c r="CU111" i="1"/>
  <c r="S112" i="1"/>
  <c r="V112" i="1"/>
  <c r="W112" i="1" s="1"/>
  <c r="AB112" i="1"/>
  <c r="AC112" i="1" s="1"/>
  <c r="AG112" i="1"/>
  <c r="AT112" i="1"/>
  <c r="AV112" i="1"/>
  <c r="CR112" i="1" s="1"/>
  <c r="CN112" i="1" s="1"/>
  <c r="BI112" i="1"/>
  <c r="BQ112" i="1"/>
  <c r="BY112" i="1"/>
  <c r="CD112" i="1"/>
  <c r="CF112" i="1"/>
  <c r="CK112" i="1"/>
  <c r="CM112" i="1"/>
  <c r="CS112" i="1"/>
  <c r="CU112" i="1"/>
  <c r="S115" i="1"/>
  <c r="V115" i="1"/>
  <c r="W115" i="1" s="1"/>
  <c r="AB115" i="1"/>
  <c r="AC115" i="1" s="1"/>
  <c r="AG115" i="1"/>
  <c r="AT115" i="1"/>
  <c r="AU115" i="1"/>
  <c r="AV115" i="1"/>
  <c r="CR115" i="1" s="1"/>
  <c r="BI115" i="1"/>
  <c r="CV115" i="1" s="1"/>
  <c r="CD115" i="1"/>
  <c r="CF115" i="1"/>
  <c r="CK115" i="1"/>
  <c r="CM115" i="1"/>
  <c r="CS115" i="1"/>
  <c r="CT115" i="1" s="1"/>
  <c r="CU115" i="1"/>
  <c r="S116" i="1"/>
  <c r="V116" i="1"/>
  <c r="W116" i="1" s="1"/>
  <c r="AB116" i="1"/>
  <c r="AC116" i="1" s="1"/>
  <c r="AG116" i="1"/>
  <c r="AT116" i="1"/>
  <c r="AU116" i="1"/>
  <c r="AV116" i="1"/>
  <c r="CR116" i="1" s="1"/>
  <c r="BI116" i="1"/>
  <c r="BQ116" i="1"/>
  <c r="BY116" i="1"/>
  <c r="CV116" i="1" s="1"/>
  <c r="CD116" i="1"/>
  <c r="CK116" i="1"/>
  <c r="CM116" i="1"/>
  <c r="CS116" i="1"/>
  <c r="CU116" i="1"/>
  <c r="S117" i="1"/>
  <c r="V117" i="1"/>
  <c r="W117" i="1" s="1"/>
  <c r="AB117" i="1"/>
  <c r="AC117" i="1" s="1"/>
  <c r="AG117" i="1"/>
  <c r="AT117" i="1"/>
  <c r="AU117" i="1"/>
  <c r="AV117" i="1"/>
  <c r="CR117" i="1" s="1"/>
  <c r="BI117" i="1"/>
  <c r="BY117" i="1"/>
  <c r="CD117" i="1"/>
  <c r="CF117" i="1"/>
  <c r="CK117" i="1"/>
  <c r="CM117" i="1"/>
  <c r="CS117" i="1"/>
  <c r="CU117" i="1"/>
  <c r="S286" i="1"/>
  <c r="V286" i="1"/>
  <c r="W286" i="1" s="1"/>
  <c r="AB286" i="1"/>
  <c r="AC286" i="1" s="1"/>
  <c r="AG286" i="1"/>
  <c r="AT286" i="1"/>
  <c r="AU286" i="1"/>
  <c r="AV286" i="1"/>
  <c r="CR286" i="1" s="1"/>
  <c r="BI286" i="1"/>
  <c r="BQ286" i="1"/>
  <c r="BY286" i="1"/>
  <c r="CD286" i="1"/>
  <c r="CF286" i="1"/>
  <c r="CK286" i="1"/>
  <c r="CM286" i="1"/>
  <c r="DD286" i="1" s="1"/>
  <c r="CS286" i="1"/>
  <c r="CU286" i="1"/>
  <c r="CW286" i="1"/>
  <c r="S118" i="1"/>
  <c r="V118" i="1"/>
  <c r="W118" i="1" s="1"/>
  <c r="AB118" i="1"/>
  <c r="AC118" i="1" s="1"/>
  <c r="AG118" i="1"/>
  <c r="AT118" i="1"/>
  <c r="AU118" i="1"/>
  <c r="AV118" i="1"/>
  <c r="CR118" i="1" s="1"/>
  <c r="CN118" i="1" s="1"/>
  <c r="BI118" i="1"/>
  <c r="BQ118" i="1"/>
  <c r="BY118" i="1"/>
  <c r="CD118" i="1"/>
  <c r="CF118" i="1"/>
  <c r="DC118" i="1" s="1"/>
  <c r="CM118" i="1"/>
  <c r="DD118" i="1" s="1"/>
  <c r="CS118" i="1"/>
  <c r="CU118" i="1"/>
  <c r="S291" i="1"/>
  <c r="V291" i="1"/>
  <c r="W291" i="1" s="1"/>
  <c r="AB291" i="1"/>
  <c r="AC291" i="1" s="1"/>
  <c r="AG291" i="1"/>
  <c r="AT291" i="1"/>
  <c r="AU291" i="1"/>
  <c r="AV291" i="1"/>
  <c r="CR291" i="1" s="1"/>
  <c r="CN291" i="1" s="1"/>
  <c r="BI291" i="1"/>
  <c r="BQ291" i="1"/>
  <c r="CT291" i="1" s="1"/>
  <c r="BY291" i="1"/>
  <c r="CD291" i="1"/>
  <c r="CF291" i="1"/>
  <c r="CK291" i="1"/>
  <c r="CM291" i="1"/>
  <c r="CS291" i="1"/>
  <c r="CU291" i="1"/>
  <c r="S292" i="1"/>
  <c r="V292" i="1"/>
  <c r="W292" i="1" s="1"/>
  <c r="AB292" i="1"/>
  <c r="AC292" i="1" s="1"/>
  <c r="AG292" i="1"/>
  <c r="AT292" i="1"/>
  <c r="AU292" i="1"/>
  <c r="AV292" i="1"/>
  <c r="CR292" i="1" s="1"/>
  <c r="BI292" i="1"/>
  <c r="CW292" i="1" s="1"/>
  <c r="BQ292" i="1"/>
  <c r="CT292" i="1" s="1"/>
  <c r="BY292" i="1"/>
  <c r="CD292" i="1"/>
  <c r="CF292" i="1"/>
  <c r="CK292" i="1"/>
  <c r="CM292" i="1"/>
  <c r="CS292" i="1"/>
  <c r="CU292" i="1"/>
  <c r="S119" i="1"/>
  <c r="V119" i="1"/>
  <c r="W119" i="1" s="1"/>
  <c r="AB119" i="1"/>
  <c r="AC119" i="1" s="1"/>
  <c r="AG119" i="1"/>
  <c r="AT119" i="1"/>
  <c r="AU119" i="1"/>
  <c r="AV119" i="1"/>
  <c r="CR119" i="1" s="1"/>
  <c r="CN119" i="1" s="1"/>
  <c r="BI119" i="1"/>
  <c r="BQ119" i="1"/>
  <c r="BY119" i="1"/>
  <c r="CD119" i="1"/>
  <c r="CF119" i="1"/>
  <c r="CK119" i="1"/>
  <c r="CM119" i="1"/>
  <c r="CS119" i="1"/>
  <c r="CU119" i="1"/>
  <c r="S120" i="1"/>
  <c r="V120" i="1"/>
  <c r="W120" i="1" s="1"/>
  <c r="AB120" i="1"/>
  <c r="AC120" i="1" s="1"/>
  <c r="AG120" i="1"/>
  <c r="AT120" i="1"/>
  <c r="AU120" i="1"/>
  <c r="AV120" i="1"/>
  <c r="CR120" i="1" s="1"/>
  <c r="CN120" i="1" s="1"/>
  <c r="BI120" i="1"/>
  <c r="BQ120" i="1"/>
  <c r="BY120" i="1"/>
  <c r="CD120" i="1"/>
  <c r="CF120" i="1"/>
  <c r="CK120" i="1"/>
  <c r="CM120" i="1"/>
  <c r="CS120" i="1"/>
  <c r="CU120" i="1"/>
  <c r="S121" i="1"/>
  <c r="V121" i="1"/>
  <c r="W121" i="1" s="1"/>
  <c r="AB121" i="1"/>
  <c r="AC121" i="1" s="1"/>
  <c r="AG121" i="1"/>
  <c r="AT121" i="1"/>
  <c r="AU121" i="1"/>
  <c r="AV121" i="1"/>
  <c r="CR121" i="1" s="1"/>
  <c r="CN121" i="1" s="1"/>
  <c r="BI121" i="1"/>
  <c r="BQ121" i="1"/>
  <c r="BY121" i="1"/>
  <c r="CD121" i="1"/>
  <c r="CF121" i="1"/>
  <c r="CK121" i="1"/>
  <c r="CM121" i="1"/>
  <c r="CS121" i="1"/>
  <c r="CU121" i="1"/>
  <c r="S122" i="1"/>
  <c r="V122" i="1"/>
  <c r="W122" i="1" s="1"/>
  <c r="AB122" i="1"/>
  <c r="AC122" i="1" s="1"/>
  <c r="AG122" i="1"/>
  <c r="AT122" i="1"/>
  <c r="AU122" i="1"/>
  <c r="AV122" i="1"/>
  <c r="CR122" i="1" s="1"/>
  <c r="CN122" i="1" s="1"/>
  <c r="BI122" i="1"/>
  <c r="BQ122" i="1"/>
  <c r="BY122" i="1"/>
  <c r="CD122" i="1"/>
  <c r="CF122" i="1"/>
  <c r="CK122" i="1"/>
  <c r="CM122" i="1"/>
  <c r="DD122" i="1" s="1"/>
  <c r="CS122" i="1"/>
  <c r="CU122" i="1"/>
  <c r="CW122" i="1"/>
  <c r="S298" i="1"/>
  <c r="V298" i="1"/>
  <c r="W298" i="1" s="1"/>
  <c r="AB298" i="1"/>
  <c r="AC298" i="1" s="1"/>
  <c r="AG298" i="1"/>
  <c r="AT298" i="1"/>
  <c r="AU298" i="1"/>
  <c r="AV298" i="1"/>
  <c r="CR298" i="1" s="1"/>
  <c r="BI298" i="1"/>
  <c r="BQ298" i="1"/>
  <c r="BY298" i="1"/>
  <c r="CD298" i="1"/>
  <c r="CF298" i="1"/>
  <c r="CK298" i="1"/>
  <c r="CM298" i="1"/>
  <c r="CS298" i="1"/>
  <c r="CT298" i="1" s="1"/>
  <c r="CU298" i="1"/>
  <c r="S123" i="1"/>
  <c r="V123" i="1"/>
  <c r="W123" i="1" s="1"/>
  <c r="X123" i="1"/>
  <c r="AB123" i="1" s="1"/>
  <c r="AC123" i="1" s="1"/>
  <c r="AG123" i="1"/>
  <c r="AT123" i="1"/>
  <c r="AU123" i="1"/>
  <c r="AV123" i="1"/>
  <c r="CR123" i="1" s="1"/>
  <c r="CN123" i="1" s="1"/>
  <c r="BI123" i="1"/>
  <c r="CV123" i="1" s="1"/>
  <c r="CD123" i="1"/>
  <c r="CF123" i="1"/>
  <c r="CK123" i="1"/>
  <c r="CM123" i="1"/>
  <c r="CS123" i="1"/>
  <c r="CT123" i="1" s="1"/>
  <c r="CU123" i="1"/>
  <c r="S299" i="1"/>
  <c r="V299" i="1"/>
  <c r="W299" i="1" s="1"/>
  <c r="X299" i="1"/>
  <c r="AB299" i="1" s="1"/>
  <c r="AC299" i="1" s="1"/>
  <c r="AG299" i="1"/>
  <c r="AT299" i="1"/>
  <c r="AU299" i="1"/>
  <c r="AV299" i="1"/>
  <c r="CR299" i="1" s="1"/>
  <c r="CP299" i="1" s="1"/>
  <c r="BI299" i="1"/>
  <c r="BQ299" i="1"/>
  <c r="BY299" i="1"/>
  <c r="CV299" i="1" s="1"/>
  <c r="CD299" i="1"/>
  <c r="CF299" i="1"/>
  <c r="CK299" i="1"/>
  <c r="CM299" i="1"/>
  <c r="CS299" i="1"/>
  <c r="CU299" i="1"/>
  <c r="S126" i="1"/>
  <c r="V126" i="1"/>
  <c r="W126" i="1" s="1"/>
  <c r="AB126" i="1"/>
  <c r="AC126" i="1" s="1"/>
  <c r="AG126" i="1"/>
  <c r="AT126" i="1"/>
  <c r="AU126" i="1"/>
  <c r="AV126" i="1"/>
  <c r="CR126" i="1" s="1"/>
  <c r="BI126" i="1"/>
  <c r="BQ126" i="1"/>
  <c r="BY126" i="1"/>
  <c r="CV126" i="1" s="1"/>
  <c r="CD126" i="1"/>
  <c r="CF126" i="1"/>
  <c r="CK126" i="1"/>
  <c r="CM126" i="1"/>
  <c r="CS126" i="1"/>
  <c r="CU126" i="1"/>
  <c r="S127" i="1"/>
  <c r="V127" i="1"/>
  <c r="W127" i="1" s="1"/>
  <c r="AB127" i="1"/>
  <c r="AC127" i="1" s="1"/>
  <c r="AG127" i="1"/>
  <c r="AT127" i="1"/>
  <c r="AU127" i="1"/>
  <c r="AV127" i="1"/>
  <c r="BI127" i="1"/>
  <c r="BQ127" i="1"/>
  <c r="BY127" i="1"/>
  <c r="CV127" i="1" s="1"/>
  <c r="CD127" i="1"/>
  <c r="CF127" i="1"/>
  <c r="CK127" i="1"/>
  <c r="CM127" i="1"/>
  <c r="DD127" i="1" s="1"/>
  <c r="CS127" i="1"/>
  <c r="CU127" i="1"/>
  <c r="S309" i="1"/>
  <c r="V309" i="1"/>
  <c r="W309" i="1" s="1"/>
  <c r="AB309" i="1"/>
  <c r="AC309" i="1" s="1"/>
  <c r="AG309" i="1"/>
  <c r="AT309" i="1"/>
  <c r="AU309" i="1"/>
  <c r="AV309" i="1"/>
  <c r="CR309" i="1" s="1"/>
  <c r="BI309" i="1"/>
  <c r="BQ309" i="1"/>
  <c r="BY309" i="1"/>
  <c r="CV309" i="1" s="1"/>
  <c r="CD309" i="1"/>
  <c r="CF309" i="1"/>
  <c r="CK309" i="1"/>
  <c r="CM309" i="1"/>
  <c r="CS309" i="1"/>
  <c r="CU309" i="1"/>
  <c r="S130" i="1"/>
  <c r="V130" i="1"/>
  <c r="W130" i="1" s="1"/>
  <c r="AB130" i="1"/>
  <c r="AC130" i="1" s="1"/>
  <c r="AG130" i="1"/>
  <c r="AT130" i="1"/>
  <c r="AU130" i="1"/>
  <c r="AV130" i="1"/>
  <c r="CR130" i="1" s="1"/>
  <c r="CN130" i="1" s="1"/>
  <c r="BI130" i="1"/>
  <c r="BQ130" i="1"/>
  <c r="BY130" i="1"/>
  <c r="CV130" i="1" s="1"/>
  <c r="CD130" i="1"/>
  <c r="CF130" i="1"/>
  <c r="CK130" i="1"/>
  <c r="CM130" i="1"/>
  <c r="CW130" i="1" s="1"/>
  <c r="CS130" i="1"/>
  <c r="CU130" i="1"/>
  <c r="S314" i="1"/>
  <c r="V314" i="1"/>
  <c r="W314" i="1" s="1"/>
  <c r="AB314" i="1"/>
  <c r="AC314" i="1" s="1"/>
  <c r="AG314" i="1"/>
  <c r="AT314" i="1"/>
  <c r="AU314" i="1"/>
  <c r="AV314" i="1"/>
  <c r="CR314" i="1" s="1"/>
  <c r="CP314" i="1" s="1"/>
  <c r="BI314" i="1"/>
  <c r="BQ314" i="1"/>
  <c r="BY314" i="1"/>
  <c r="CD314" i="1"/>
  <c r="CF314" i="1"/>
  <c r="CK314" i="1"/>
  <c r="CM314" i="1"/>
  <c r="CS314" i="1"/>
  <c r="CU314" i="1"/>
  <c r="S131" i="1"/>
  <c r="V131" i="1"/>
  <c r="W131" i="1" s="1"/>
  <c r="AB131" i="1"/>
  <c r="AC131" i="1" s="1"/>
  <c r="AG131" i="1"/>
  <c r="AT131" i="1"/>
  <c r="AU131" i="1"/>
  <c r="AV131" i="1"/>
  <c r="CR131" i="1" s="1"/>
  <c r="CP131" i="1" s="1"/>
  <c r="BI131" i="1"/>
  <c r="BQ131" i="1"/>
  <c r="BY131" i="1"/>
  <c r="CD131" i="1"/>
  <c r="CF131" i="1"/>
  <c r="CK131" i="1"/>
  <c r="CM131" i="1"/>
  <c r="CW131" i="1" s="1"/>
  <c r="CS131" i="1"/>
  <c r="CU131" i="1"/>
  <c r="S316" i="1"/>
  <c r="V316" i="1"/>
  <c r="W316" i="1" s="1"/>
  <c r="AB316" i="1"/>
  <c r="AC316" i="1" s="1"/>
  <c r="AG316" i="1"/>
  <c r="AT316" i="1"/>
  <c r="AU316" i="1"/>
  <c r="AV316" i="1"/>
  <c r="CR316" i="1" s="1"/>
  <c r="CN316" i="1" s="1"/>
  <c r="BI316" i="1"/>
  <c r="BQ316" i="1"/>
  <c r="CT316" i="1" s="1"/>
  <c r="BY316" i="1"/>
  <c r="CV316" i="1" s="1"/>
  <c r="CD316" i="1"/>
  <c r="CF316" i="1"/>
  <c r="CK316" i="1"/>
  <c r="CM316" i="1"/>
  <c r="CS316" i="1"/>
  <c r="CU316" i="1"/>
  <c r="DF135" i="1"/>
  <c r="S136" i="1"/>
  <c r="V136" i="1"/>
  <c r="W136" i="1" s="1"/>
  <c r="AB136" i="1"/>
  <c r="AC136" i="1" s="1"/>
  <c r="AG136" i="1"/>
  <c r="AT136" i="1"/>
  <c r="AU136" i="1"/>
  <c r="AV136" i="1"/>
  <c r="CR136" i="1" s="1"/>
  <c r="CN136" i="1" s="1"/>
  <c r="BI136" i="1"/>
  <c r="BQ136" i="1"/>
  <c r="BY136" i="1"/>
  <c r="CD136" i="1"/>
  <c r="CF136" i="1"/>
  <c r="CK136" i="1"/>
  <c r="CM136" i="1"/>
  <c r="CS136" i="1"/>
  <c r="CW136" i="1"/>
  <c r="S137" i="1"/>
  <c r="V137" i="1"/>
  <c r="W137" i="1" s="1"/>
  <c r="X137" i="1"/>
  <c r="AB137" i="1" s="1"/>
  <c r="AC137" i="1" s="1"/>
  <c r="AG137" i="1"/>
  <c r="AT137" i="1"/>
  <c r="AU137" i="1"/>
  <c r="AV137" i="1"/>
  <c r="CR137" i="1" s="1"/>
  <c r="BI137" i="1"/>
  <c r="BQ137" i="1"/>
  <c r="CT137" i="1" s="1"/>
  <c r="BY137" i="1"/>
  <c r="CD137" i="1"/>
  <c r="CF137" i="1"/>
  <c r="CK137" i="1"/>
  <c r="CM137" i="1"/>
  <c r="DD137" i="1" s="1"/>
  <c r="CS137" i="1"/>
  <c r="CU137" i="1"/>
  <c r="CW137" i="1"/>
  <c r="S138" i="1"/>
  <c r="V138" i="1"/>
  <c r="W138" i="1" s="1"/>
  <c r="AB138" i="1"/>
  <c r="AC138" i="1" s="1"/>
  <c r="AG138" i="1"/>
  <c r="AT138" i="1"/>
  <c r="AU138" i="1"/>
  <c r="AV138" i="1"/>
  <c r="CR138" i="1" s="1"/>
  <c r="BI138" i="1"/>
  <c r="CV138" i="1" s="1"/>
  <c r="BQ138" i="1"/>
  <c r="BY138" i="1"/>
  <c r="CD138" i="1"/>
  <c r="CF138" i="1"/>
  <c r="CK138" i="1"/>
  <c r="CM138" i="1"/>
  <c r="CS138" i="1"/>
  <c r="CT138" i="1" s="1"/>
  <c r="CU138" i="1"/>
  <c r="S139" i="1"/>
  <c r="V139" i="1"/>
  <c r="W139" i="1" s="1"/>
  <c r="AB139" i="1"/>
  <c r="AC139" i="1" s="1"/>
  <c r="AG139" i="1"/>
  <c r="AT139" i="1"/>
  <c r="AU139" i="1"/>
  <c r="AV139" i="1"/>
  <c r="CR139" i="1" s="1"/>
  <c r="BI139" i="1"/>
  <c r="CV139" i="1" s="1"/>
  <c r="BQ139" i="1"/>
  <c r="BY139" i="1"/>
  <c r="CD139" i="1"/>
  <c r="CF139" i="1"/>
  <c r="CK139" i="1"/>
  <c r="CM139" i="1"/>
  <c r="DD139" i="1" s="1"/>
  <c r="CS139" i="1"/>
  <c r="CT139" i="1" s="1"/>
  <c r="CU139" i="1"/>
  <c r="CW139" i="1"/>
  <c r="S140" i="1"/>
  <c r="V140" i="1"/>
  <c r="W140" i="1" s="1"/>
  <c r="X140" i="1"/>
  <c r="AB140" i="1" s="1"/>
  <c r="AC140" i="1" s="1"/>
  <c r="AG140" i="1"/>
  <c r="AT140" i="1"/>
  <c r="AU140" i="1"/>
  <c r="AV140" i="1"/>
  <c r="CR140" i="1" s="1"/>
  <c r="CP140" i="1" s="1"/>
  <c r="BI140" i="1"/>
  <c r="BQ140" i="1"/>
  <c r="BY140" i="1"/>
  <c r="CD140" i="1"/>
  <c r="CF140" i="1"/>
  <c r="CK140" i="1"/>
  <c r="CM140" i="1"/>
  <c r="CW140" i="1" s="1"/>
  <c r="CS140" i="1"/>
  <c r="CT140" i="1" s="1"/>
  <c r="CU140" i="1"/>
  <c r="S141" i="1"/>
  <c r="V141" i="1"/>
  <c r="W141" i="1" s="1"/>
  <c r="AB141" i="1"/>
  <c r="AC141" i="1" s="1"/>
  <c r="AG141" i="1"/>
  <c r="AT141" i="1"/>
  <c r="AU141" i="1"/>
  <c r="AV141" i="1"/>
  <c r="CR141" i="1" s="1"/>
  <c r="BI141" i="1"/>
  <c r="BQ141" i="1"/>
  <c r="BY141" i="1"/>
  <c r="CV141" i="1" s="1"/>
  <c r="CD141" i="1"/>
  <c r="CF141" i="1"/>
  <c r="CK141" i="1"/>
  <c r="CM141" i="1"/>
  <c r="CW141" i="1" s="1"/>
  <c r="CS141" i="1"/>
  <c r="CT141" i="1" s="1"/>
  <c r="CU141" i="1"/>
  <c r="S142" i="1"/>
  <c r="V142" i="1"/>
  <c r="W142" i="1" s="1"/>
  <c r="AB142" i="1"/>
  <c r="AC142" i="1" s="1"/>
  <c r="AG142" i="1"/>
  <c r="AT142" i="1"/>
  <c r="AU142" i="1"/>
  <c r="AV142" i="1"/>
  <c r="BI142" i="1"/>
  <c r="BQ142" i="1"/>
  <c r="BY142" i="1"/>
  <c r="CV142" i="1" s="1"/>
  <c r="CD142" i="1"/>
  <c r="CF142" i="1"/>
  <c r="CK142" i="1"/>
  <c r="CM142" i="1"/>
  <c r="CS142" i="1"/>
  <c r="CT142" i="1" s="1"/>
  <c r="CU142" i="1"/>
  <c r="CW142" i="1"/>
  <c r="S143" i="1"/>
  <c r="V143" i="1"/>
  <c r="W143" i="1" s="1"/>
  <c r="AB143" i="1"/>
  <c r="AC143" i="1" s="1"/>
  <c r="AG143" i="1"/>
  <c r="AT143" i="1"/>
  <c r="AU143" i="1"/>
  <c r="AV143" i="1"/>
  <c r="CR143" i="1" s="1"/>
  <c r="CN143" i="1" s="1"/>
  <c r="BI143" i="1"/>
  <c r="BQ143" i="1"/>
  <c r="BY143" i="1"/>
  <c r="CD143" i="1"/>
  <c r="CF143" i="1"/>
  <c r="CK143" i="1"/>
  <c r="CM143" i="1"/>
  <c r="DD143" i="1" s="1"/>
  <c r="CS143" i="1"/>
  <c r="CU143" i="1"/>
  <c r="CW143" i="1"/>
  <c r="S145" i="1"/>
  <c r="V145" i="1"/>
  <c r="W145" i="1" s="1"/>
  <c r="AB145" i="1"/>
  <c r="AC145" i="1" s="1"/>
  <c r="AG145" i="1"/>
  <c r="AT145" i="1"/>
  <c r="AU145" i="1"/>
  <c r="AV145" i="1"/>
  <c r="BI145" i="1"/>
  <c r="BQ145" i="1"/>
  <c r="BY145" i="1"/>
  <c r="CD145" i="1"/>
  <c r="CF145" i="1"/>
  <c r="CK145" i="1"/>
  <c r="CM145" i="1"/>
  <c r="DD145" i="1" s="1"/>
  <c r="CS145" i="1"/>
  <c r="CU145" i="1"/>
  <c r="CW145" i="1"/>
  <c r="S146" i="1"/>
  <c r="V146" i="1"/>
  <c r="W146" i="1" s="1"/>
  <c r="AB146" i="1"/>
  <c r="AC146" i="1" s="1"/>
  <c r="AG146" i="1"/>
  <c r="AT146" i="1"/>
  <c r="AU146" i="1"/>
  <c r="AV146" i="1"/>
  <c r="BI146" i="1"/>
  <c r="BQ146" i="1"/>
  <c r="BY146" i="1"/>
  <c r="CD146" i="1"/>
  <c r="CF146" i="1"/>
  <c r="CK146" i="1"/>
  <c r="CM146" i="1"/>
  <c r="DD146" i="1" s="1"/>
  <c r="CS146" i="1"/>
  <c r="CT146" i="1" s="1"/>
  <c r="CU146" i="1"/>
  <c r="CW146" i="1"/>
  <c r="S148" i="1"/>
  <c r="V148" i="1"/>
  <c r="W148" i="1" s="1"/>
  <c r="AB148" i="1"/>
  <c r="AC148" i="1" s="1"/>
  <c r="AG148" i="1"/>
  <c r="AT148" i="1"/>
  <c r="AU148" i="1"/>
  <c r="AV148" i="1"/>
  <c r="CR148" i="1" s="1"/>
  <c r="CP148" i="1" s="1"/>
  <c r="BI148" i="1"/>
  <c r="BQ148" i="1"/>
  <c r="BY148" i="1"/>
  <c r="CV148" i="1" s="1"/>
  <c r="CD148" i="1"/>
  <c r="CF148" i="1"/>
  <c r="CK148" i="1"/>
  <c r="CM148" i="1"/>
  <c r="CS148" i="1"/>
  <c r="CU148" i="1"/>
  <c r="CW148" i="1"/>
  <c r="S149" i="1"/>
  <c r="V149" i="1"/>
  <c r="W149" i="1" s="1"/>
  <c r="AB149" i="1"/>
  <c r="AC149" i="1" s="1"/>
  <c r="F149" i="1" s="1"/>
  <c r="G149" i="1" s="1"/>
  <c r="AG149" i="1"/>
  <c r="AT149" i="1"/>
  <c r="AU149" i="1"/>
  <c r="AV149" i="1"/>
  <c r="CR149" i="1" s="1"/>
  <c r="BI149" i="1"/>
  <c r="BQ149" i="1"/>
  <c r="BY149" i="1"/>
  <c r="CV149" i="1" s="1"/>
  <c r="CD149" i="1"/>
  <c r="CF149" i="1"/>
  <c r="CK149" i="1"/>
  <c r="CM149" i="1"/>
  <c r="CS149" i="1"/>
  <c r="CU149" i="1"/>
  <c r="S150" i="1"/>
  <c r="V150" i="1"/>
  <c r="W150" i="1" s="1"/>
  <c r="AB150" i="1"/>
  <c r="AC150" i="1" s="1"/>
  <c r="AG150" i="1"/>
  <c r="AT150" i="1"/>
  <c r="AU150" i="1"/>
  <c r="AV150" i="1"/>
  <c r="CR150" i="1" s="1"/>
  <c r="BI150" i="1"/>
  <c r="BQ150" i="1"/>
  <c r="BY150" i="1"/>
  <c r="CV150" i="1" s="1"/>
  <c r="CD150" i="1"/>
  <c r="CF150" i="1"/>
  <c r="CK150" i="1"/>
  <c r="CM150" i="1"/>
  <c r="DD150" i="1" s="1"/>
  <c r="CS150" i="1"/>
  <c r="CU150" i="1"/>
  <c r="CW150" i="1"/>
  <c r="S151" i="1"/>
  <c r="V151" i="1"/>
  <c r="W151" i="1" s="1"/>
  <c r="AB151" i="1"/>
  <c r="AC151" i="1" s="1"/>
  <c r="AG151" i="1"/>
  <c r="AT151" i="1"/>
  <c r="AU151" i="1"/>
  <c r="AV151" i="1"/>
  <c r="CR151" i="1" s="1"/>
  <c r="CN151" i="1" s="1"/>
  <c r="BI151" i="1"/>
  <c r="BQ151" i="1"/>
  <c r="CT151" i="1" s="1"/>
  <c r="BY151" i="1"/>
  <c r="CD151" i="1"/>
  <c r="CF151" i="1"/>
  <c r="CK151" i="1"/>
  <c r="CM151" i="1"/>
  <c r="DD151" i="1" s="1"/>
  <c r="CS151" i="1"/>
  <c r="CU151" i="1"/>
  <c r="CW151" i="1"/>
  <c r="S152" i="1"/>
  <c r="V152" i="1"/>
  <c r="W152" i="1" s="1"/>
  <c r="AB152" i="1"/>
  <c r="AC152" i="1" s="1"/>
  <c r="AG152" i="1"/>
  <c r="AT152" i="1"/>
  <c r="AU152" i="1"/>
  <c r="AV152" i="1"/>
  <c r="CR152" i="1" s="1"/>
  <c r="BI152" i="1"/>
  <c r="CV152" i="1" s="1"/>
  <c r="BQ152" i="1"/>
  <c r="BY152" i="1"/>
  <c r="CD152" i="1"/>
  <c r="CF152" i="1"/>
  <c r="CK152" i="1"/>
  <c r="CM152" i="1"/>
  <c r="CS152" i="1"/>
  <c r="CT152" i="1" s="1"/>
  <c r="CU152" i="1"/>
  <c r="S153" i="1"/>
  <c r="V153" i="1"/>
  <c r="W153" i="1" s="1"/>
  <c r="AB153" i="1"/>
  <c r="AC153" i="1" s="1"/>
  <c r="AG153" i="1"/>
  <c r="AT153" i="1"/>
  <c r="AU153" i="1"/>
  <c r="AV153" i="1"/>
  <c r="CR153" i="1" s="1"/>
  <c r="BI153" i="1"/>
  <c r="CV153" i="1" s="1"/>
  <c r="BQ153" i="1"/>
  <c r="BY153" i="1"/>
  <c r="CD153" i="1"/>
  <c r="CF153" i="1"/>
  <c r="DC153" i="1" s="1"/>
  <c r="CK153" i="1"/>
  <c r="CM153" i="1"/>
  <c r="CS153" i="1"/>
  <c r="CT153" i="1" s="1"/>
  <c r="CU153" i="1"/>
  <c r="CX153" i="1"/>
  <c r="S154" i="1"/>
  <c r="V154" i="1"/>
  <c r="W154" i="1" s="1"/>
  <c r="AB154" i="1"/>
  <c r="AC154" i="1" s="1"/>
  <c r="AG154" i="1"/>
  <c r="AT154" i="1"/>
  <c r="AU154" i="1"/>
  <c r="AV154" i="1"/>
  <c r="CR154" i="1" s="1"/>
  <c r="CN154" i="1" s="1"/>
  <c r="BI154" i="1"/>
  <c r="BQ154" i="1"/>
  <c r="BY154" i="1"/>
  <c r="CD154" i="1"/>
  <c r="CF154" i="1"/>
  <c r="CK154" i="1"/>
  <c r="CM154" i="1"/>
  <c r="DD154" i="1" s="1"/>
  <c r="CS154" i="1"/>
  <c r="CT154" i="1" s="1"/>
  <c r="CU154" i="1"/>
  <c r="CW154" i="1"/>
  <c r="S155" i="1"/>
  <c r="V155" i="1"/>
  <c r="W155" i="1" s="1"/>
  <c r="AB155" i="1"/>
  <c r="AC155" i="1" s="1"/>
  <c r="AG155" i="1"/>
  <c r="AT155" i="1"/>
  <c r="AU155" i="1"/>
  <c r="AV155" i="1"/>
  <c r="CR155" i="1" s="1"/>
  <c r="CN155" i="1" s="1"/>
  <c r="BI155" i="1"/>
  <c r="BQ155" i="1"/>
  <c r="BY155" i="1"/>
  <c r="CD155" i="1"/>
  <c r="CF155" i="1"/>
  <c r="CK155" i="1"/>
  <c r="CM155" i="1"/>
  <c r="CW155" i="1" s="1"/>
  <c r="CS155" i="1"/>
  <c r="CT155" i="1" s="1"/>
  <c r="CU155" i="1"/>
  <c r="S158" i="1"/>
  <c r="V158" i="1"/>
  <c r="W158" i="1" s="1"/>
  <c r="AB158" i="1"/>
  <c r="AC158" i="1" s="1"/>
  <c r="AG158" i="1"/>
  <c r="AT158" i="1"/>
  <c r="AU158" i="1"/>
  <c r="AV158" i="1"/>
  <c r="CR158" i="1" s="1"/>
  <c r="BI158" i="1"/>
  <c r="BQ158" i="1"/>
  <c r="BY158" i="1"/>
  <c r="CD158" i="1"/>
  <c r="CF158" i="1"/>
  <c r="CK158" i="1"/>
  <c r="CM158" i="1"/>
  <c r="CS158" i="1"/>
  <c r="CT158" i="1" s="1"/>
  <c r="CU158" i="1"/>
  <c r="S160" i="1"/>
  <c r="V160" i="1"/>
  <c r="W160" i="1" s="1"/>
  <c r="AB160" i="1"/>
  <c r="AC160" i="1" s="1"/>
  <c r="AG160" i="1"/>
  <c r="AT160" i="1"/>
  <c r="AU160" i="1"/>
  <c r="AV160" i="1"/>
  <c r="CR160" i="1" s="1"/>
  <c r="CP160" i="1" s="1"/>
  <c r="BI160" i="1"/>
  <c r="BQ160" i="1"/>
  <c r="BY160" i="1"/>
  <c r="CD160" i="1"/>
  <c r="CF160" i="1"/>
  <c r="CK160" i="1"/>
  <c r="CM160" i="1"/>
  <c r="DD160" i="1" s="1"/>
  <c r="CS160" i="1"/>
  <c r="CT160" i="1" s="1"/>
  <c r="CU160" i="1"/>
  <c r="CW160" i="1"/>
  <c r="S161" i="1"/>
  <c r="V161" i="1"/>
  <c r="W161" i="1" s="1"/>
  <c r="AB161" i="1"/>
  <c r="AC161" i="1" s="1"/>
  <c r="AG161" i="1"/>
  <c r="AT161" i="1"/>
  <c r="AU161" i="1"/>
  <c r="AV161" i="1"/>
  <c r="CR161" i="1" s="1"/>
  <c r="CP161" i="1" s="1"/>
  <c r="BI161" i="1"/>
  <c r="BQ161" i="1"/>
  <c r="BY161" i="1"/>
  <c r="CV161" i="1" s="1"/>
  <c r="CD161" i="1"/>
  <c r="CF161" i="1"/>
  <c r="CK161" i="1"/>
  <c r="CM161" i="1"/>
  <c r="DD161" i="1" s="1"/>
  <c r="CS161" i="1"/>
  <c r="CU161" i="1"/>
  <c r="CW161" i="1"/>
  <c r="S162" i="1"/>
  <c r="V162" i="1"/>
  <c r="W162" i="1" s="1"/>
  <c r="AB162" i="1"/>
  <c r="AC162" i="1" s="1"/>
  <c r="AG162" i="1"/>
  <c r="AT162" i="1"/>
  <c r="AU162" i="1"/>
  <c r="AV162" i="1"/>
  <c r="CR162" i="1" s="1"/>
  <c r="BI162" i="1"/>
  <c r="BQ162" i="1"/>
  <c r="BY162" i="1"/>
  <c r="CD162" i="1"/>
  <c r="CF162" i="1"/>
  <c r="CK162" i="1"/>
  <c r="CM162" i="1"/>
  <c r="DD162" i="1" s="1"/>
  <c r="CS162" i="1"/>
  <c r="CU162" i="1"/>
  <c r="CW162" i="1"/>
  <c r="S163" i="1"/>
  <c r="V163" i="1"/>
  <c r="W163" i="1" s="1"/>
  <c r="AB163" i="1"/>
  <c r="AC163" i="1" s="1"/>
  <c r="AG163" i="1"/>
  <c r="AT163" i="1"/>
  <c r="AU163" i="1"/>
  <c r="AV163" i="1"/>
  <c r="CR163" i="1" s="1"/>
  <c r="BI163" i="1"/>
  <c r="BQ163" i="1"/>
  <c r="BY163" i="1"/>
  <c r="CV163" i="1" s="1"/>
  <c r="CD163" i="1"/>
  <c r="CF163" i="1"/>
  <c r="CK163" i="1"/>
  <c r="CM163" i="1"/>
  <c r="CS163" i="1"/>
  <c r="CT163" i="1" s="1"/>
  <c r="CU163" i="1"/>
  <c r="S165" i="1"/>
  <c r="V165" i="1"/>
  <c r="W165" i="1" s="1"/>
  <c r="AB165" i="1"/>
  <c r="AC165" i="1" s="1"/>
  <c r="AG165" i="1"/>
  <c r="AT165" i="1"/>
  <c r="AU165" i="1"/>
  <c r="AV165" i="1"/>
  <c r="CR165" i="1" s="1"/>
  <c r="BI165" i="1"/>
  <c r="BQ165" i="1"/>
  <c r="BY165" i="1"/>
  <c r="CV165" i="1" s="1"/>
  <c r="CD165" i="1"/>
  <c r="CF165" i="1"/>
  <c r="CK165" i="1"/>
  <c r="CM165" i="1"/>
  <c r="DD165" i="1" s="1"/>
  <c r="CS165" i="1"/>
  <c r="CU165" i="1"/>
  <c r="CW165" i="1"/>
  <c r="S166" i="1"/>
  <c r="V166" i="1"/>
  <c r="W166" i="1" s="1"/>
  <c r="AB166" i="1"/>
  <c r="AC166" i="1" s="1"/>
  <c r="AG166" i="1"/>
  <c r="AT166" i="1"/>
  <c r="AU166" i="1"/>
  <c r="AV166" i="1"/>
  <c r="BI166" i="1"/>
  <c r="BQ166" i="1"/>
  <c r="BY166" i="1"/>
  <c r="CV166" i="1" s="1"/>
  <c r="CD166" i="1"/>
  <c r="CF166" i="1"/>
  <c r="CK166" i="1"/>
  <c r="CM166" i="1"/>
  <c r="CS166" i="1"/>
  <c r="CU166" i="1"/>
  <c r="CX166" i="1"/>
  <c r="S167" i="1"/>
  <c r="V167" i="1"/>
  <c r="W167" i="1" s="1"/>
  <c r="AB167" i="1"/>
  <c r="AC167" i="1" s="1"/>
  <c r="AG167" i="1"/>
  <c r="AT167" i="1"/>
  <c r="AU167" i="1"/>
  <c r="AV167" i="1"/>
  <c r="BI167" i="1"/>
  <c r="BQ167" i="1"/>
  <c r="CT167" i="1" s="1"/>
  <c r="BY167" i="1"/>
  <c r="CD167" i="1"/>
  <c r="CF167" i="1"/>
  <c r="CK167" i="1"/>
  <c r="CM167" i="1"/>
  <c r="CS167" i="1"/>
  <c r="CU167" i="1"/>
  <c r="CX167" i="1"/>
  <c r="S169" i="1"/>
  <c r="V169" i="1"/>
  <c r="W169" i="1" s="1"/>
  <c r="AB169" i="1"/>
  <c r="AC169" i="1" s="1"/>
  <c r="AG169" i="1"/>
  <c r="AT169" i="1"/>
  <c r="AU169" i="1"/>
  <c r="AV169" i="1"/>
  <c r="BI169" i="1"/>
  <c r="CV169" i="1" s="1"/>
  <c r="BQ169" i="1"/>
  <c r="BY169" i="1"/>
  <c r="CD169" i="1"/>
  <c r="CF169" i="1"/>
  <c r="CK169" i="1"/>
  <c r="CM169" i="1"/>
  <c r="DD169" i="1" s="1"/>
  <c r="CS169" i="1"/>
  <c r="CT169" i="1" s="1"/>
  <c r="CU169" i="1"/>
  <c r="CW169" i="1"/>
  <c r="S171" i="1"/>
  <c r="V171" i="1"/>
  <c r="W171" i="1" s="1"/>
  <c r="AB171" i="1"/>
  <c r="AC171" i="1" s="1"/>
  <c r="AG171" i="1"/>
  <c r="AT171" i="1"/>
  <c r="AU171" i="1"/>
  <c r="AV171" i="1"/>
  <c r="CR171" i="1" s="1"/>
  <c r="BI171" i="1"/>
  <c r="BQ171" i="1"/>
  <c r="BY171" i="1"/>
  <c r="CD171" i="1"/>
  <c r="CF171" i="1"/>
  <c r="CK171" i="1"/>
  <c r="CM171" i="1"/>
  <c r="DD171" i="1" s="1"/>
  <c r="CS171" i="1"/>
  <c r="CT171" i="1" s="1"/>
  <c r="CU171" i="1"/>
  <c r="CW171" i="1"/>
  <c r="S172" i="1"/>
  <c r="V172" i="1"/>
  <c r="W172" i="1" s="1"/>
  <c r="AB172" i="1"/>
  <c r="AC172" i="1" s="1"/>
  <c r="AG172" i="1"/>
  <c r="AT172" i="1"/>
  <c r="AU172" i="1"/>
  <c r="AV172" i="1"/>
  <c r="CR172" i="1" s="1"/>
  <c r="BI172" i="1"/>
  <c r="BQ172" i="1"/>
  <c r="BY172" i="1"/>
  <c r="CD172" i="1"/>
  <c r="CF172" i="1"/>
  <c r="CK172" i="1"/>
  <c r="CM172" i="1"/>
  <c r="DD172" i="1" s="1"/>
  <c r="CS172" i="1"/>
  <c r="CT172" i="1" s="1"/>
  <c r="CU172" i="1"/>
  <c r="CW172" i="1"/>
  <c r="S173" i="1"/>
  <c r="V173" i="1"/>
  <c r="W173" i="1" s="1"/>
  <c r="AB173" i="1"/>
  <c r="AC173" i="1" s="1"/>
  <c r="AG173" i="1"/>
  <c r="AT173" i="1"/>
  <c r="AU173" i="1"/>
  <c r="AV173" i="1"/>
  <c r="CR173" i="1" s="1"/>
  <c r="CP173" i="1" s="1"/>
  <c r="BI173" i="1"/>
  <c r="BQ173" i="1"/>
  <c r="BY173" i="1"/>
  <c r="CV173" i="1" s="1"/>
  <c r="CD173" i="1"/>
  <c r="CF173" i="1"/>
  <c r="CK173" i="1"/>
  <c r="CM173" i="1"/>
  <c r="DD173" i="1" s="1"/>
  <c r="CS173" i="1"/>
  <c r="CU173" i="1"/>
  <c r="CW173" i="1"/>
  <c r="S175" i="1"/>
  <c r="V175" i="1"/>
  <c r="W175" i="1" s="1"/>
  <c r="AB175" i="1"/>
  <c r="AC175" i="1" s="1"/>
  <c r="AG175" i="1"/>
  <c r="AT175" i="1"/>
  <c r="AU175" i="1"/>
  <c r="AV175" i="1"/>
  <c r="CR175" i="1" s="1"/>
  <c r="BI175" i="1"/>
  <c r="BQ175" i="1"/>
  <c r="BY175" i="1"/>
  <c r="CD175" i="1"/>
  <c r="CF175" i="1"/>
  <c r="CK175" i="1"/>
  <c r="CM175" i="1"/>
  <c r="DD175" i="1" s="1"/>
  <c r="CS175" i="1"/>
  <c r="CU175" i="1"/>
  <c r="CW175" i="1"/>
  <c r="S176" i="1"/>
  <c r="V176" i="1"/>
  <c r="W176" i="1" s="1"/>
  <c r="AB176" i="1"/>
  <c r="AC176" i="1" s="1"/>
  <c r="AG176" i="1"/>
  <c r="AT176" i="1"/>
  <c r="AU176" i="1"/>
  <c r="AV176" i="1"/>
  <c r="CR176" i="1" s="1"/>
  <c r="BI176" i="1"/>
  <c r="BQ176" i="1"/>
  <c r="BY176" i="1"/>
  <c r="CD176" i="1"/>
  <c r="CF176" i="1"/>
  <c r="CK176" i="1"/>
  <c r="CM176" i="1"/>
  <c r="CS176" i="1"/>
  <c r="CU176" i="1"/>
  <c r="CW176" i="1"/>
  <c r="S177" i="1"/>
  <c r="V177" i="1"/>
  <c r="W177" i="1" s="1"/>
  <c r="AB177" i="1"/>
  <c r="AC177" i="1" s="1"/>
  <c r="AG177" i="1"/>
  <c r="AT177" i="1"/>
  <c r="AU177" i="1"/>
  <c r="AV177" i="1"/>
  <c r="CR177" i="1" s="1"/>
  <c r="CP177" i="1" s="1"/>
  <c r="BI177" i="1"/>
  <c r="BQ177" i="1"/>
  <c r="BY177" i="1"/>
  <c r="CV177" i="1" s="1"/>
  <c r="CD177" i="1"/>
  <c r="CF177" i="1"/>
  <c r="CK177" i="1"/>
  <c r="CM177" i="1"/>
  <c r="DD177" i="1" s="1"/>
  <c r="CS177" i="1"/>
  <c r="CU177" i="1"/>
  <c r="CW177" i="1"/>
  <c r="S178" i="1"/>
  <c r="V178" i="1"/>
  <c r="W178" i="1" s="1"/>
  <c r="AB178" i="1"/>
  <c r="AC178" i="1" s="1"/>
  <c r="AG178" i="1"/>
  <c r="AT178" i="1"/>
  <c r="AU178" i="1"/>
  <c r="AV178" i="1"/>
  <c r="CR178" i="1" s="1"/>
  <c r="BI178" i="1"/>
  <c r="BQ178" i="1"/>
  <c r="BY178" i="1"/>
  <c r="CD178" i="1"/>
  <c r="CF178" i="1"/>
  <c r="CK178" i="1"/>
  <c r="CM178" i="1"/>
  <c r="DD178" i="1" s="1"/>
  <c r="CS178" i="1"/>
  <c r="CU178" i="1"/>
  <c r="CW178" i="1"/>
  <c r="S179" i="1"/>
  <c r="V179" i="1"/>
  <c r="W179" i="1" s="1"/>
  <c r="AB179" i="1"/>
  <c r="AC179" i="1" s="1"/>
  <c r="AG179" i="1"/>
  <c r="AT179" i="1"/>
  <c r="AU179" i="1"/>
  <c r="AV179" i="1"/>
  <c r="CR179" i="1" s="1"/>
  <c r="BI179" i="1"/>
  <c r="BQ179" i="1"/>
  <c r="BY179" i="1"/>
  <c r="CD179" i="1"/>
  <c r="CF179" i="1"/>
  <c r="CK179" i="1"/>
  <c r="CM179" i="1"/>
  <c r="CS179" i="1"/>
  <c r="CT179" i="1" s="1"/>
  <c r="CU179" i="1"/>
  <c r="CW179" i="1"/>
  <c r="S180" i="1"/>
  <c r="V180" i="1"/>
  <c r="W180" i="1" s="1"/>
  <c r="AB180" i="1"/>
  <c r="AC180" i="1" s="1"/>
  <c r="AG180" i="1"/>
  <c r="AT180" i="1"/>
  <c r="AU180" i="1"/>
  <c r="AV180" i="1"/>
  <c r="CR180" i="1" s="1"/>
  <c r="BI180" i="1"/>
  <c r="BQ180" i="1"/>
  <c r="BY180" i="1"/>
  <c r="CD180" i="1"/>
  <c r="CF180" i="1"/>
  <c r="CK180" i="1"/>
  <c r="CM180" i="1"/>
  <c r="CW180" i="1" s="1"/>
  <c r="CS180" i="1"/>
  <c r="CU180" i="1"/>
  <c r="S182" i="1"/>
  <c r="V182" i="1"/>
  <c r="W182" i="1" s="1"/>
  <c r="AB182" i="1"/>
  <c r="AC182" i="1" s="1"/>
  <c r="AG182" i="1"/>
  <c r="AT182" i="1"/>
  <c r="AU182" i="1"/>
  <c r="AV182" i="1"/>
  <c r="CR182" i="1" s="1"/>
  <c r="CN182" i="1" s="1"/>
  <c r="BI182" i="1"/>
  <c r="BQ182" i="1"/>
  <c r="BY182" i="1"/>
  <c r="CD182" i="1"/>
  <c r="CF182" i="1"/>
  <c r="CK182" i="1"/>
  <c r="CM182" i="1"/>
  <c r="DD182" i="1" s="1"/>
  <c r="CS182" i="1"/>
  <c r="CT182" i="1" s="1"/>
  <c r="CU182" i="1"/>
  <c r="CW182" i="1"/>
  <c r="S183" i="1"/>
  <c r="V183" i="1"/>
  <c r="W183" i="1" s="1"/>
  <c r="AB183" i="1"/>
  <c r="AC183" i="1" s="1"/>
  <c r="AG183" i="1"/>
  <c r="AT183" i="1"/>
  <c r="AU183" i="1"/>
  <c r="AV183" i="1"/>
  <c r="CR183" i="1" s="1"/>
  <c r="BI183" i="1"/>
  <c r="BQ183" i="1"/>
  <c r="BY183" i="1"/>
  <c r="CD183" i="1"/>
  <c r="CF183" i="1"/>
  <c r="CK183" i="1"/>
  <c r="CM183" i="1"/>
  <c r="CS183" i="1"/>
  <c r="CT183" i="1" s="1"/>
  <c r="CU183" i="1"/>
  <c r="S184" i="1"/>
  <c r="V184" i="1"/>
  <c r="W184" i="1" s="1"/>
  <c r="AB184" i="1"/>
  <c r="AC184" i="1" s="1"/>
  <c r="AG184" i="1"/>
  <c r="AT184" i="1"/>
  <c r="AU184" i="1"/>
  <c r="AV184" i="1"/>
  <c r="CR184" i="1" s="1"/>
  <c r="CP184" i="1" s="1"/>
  <c r="BI184" i="1"/>
  <c r="BQ184" i="1"/>
  <c r="BY184" i="1"/>
  <c r="CD184" i="1"/>
  <c r="CF184" i="1"/>
  <c r="CK184" i="1"/>
  <c r="CM184" i="1"/>
  <c r="DD184" i="1" s="1"/>
  <c r="CS184" i="1"/>
  <c r="CT184" i="1" s="1"/>
  <c r="CU184" i="1"/>
  <c r="CW184" i="1"/>
  <c r="S185" i="1"/>
  <c r="V185" i="1"/>
  <c r="W185" i="1" s="1"/>
  <c r="AB185" i="1"/>
  <c r="AC185" i="1" s="1"/>
  <c r="AG185" i="1"/>
  <c r="AT185" i="1"/>
  <c r="AU185" i="1"/>
  <c r="AV185" i="1"/>
  <c r="CR185" i="1" s="1"/>
  <c r="CN185" i="1" s="1"/>
  <c r="BI185" i="1"/>
  <c r="BQ185" i="1"/>
  <c r="BY185" i="1"/>
  <c r="CV185" i="1" s="1"/>
  <c r="CD185" i="1"/>
  <c r="CF185" i="1"/>
  <c r="CK185" i="1"/>
  <c r="CM185" i="1"/>
  <c r="CW185" i="1" s="1"/>
  <c r="CS185" i="1"/>
  <c r="CT185" i="1" s="1"/>
  <c r="CU185" i="1"/>
  <c r="S186" i="1"/>
  <c r="V186" i="1"/>
  <c r="W186" i="1" s="1"/>
  <c r="AB186" i="1"/>
  <c r="AC186" i="1" s="1"/>
  <c r="AG186" i="1"/>
  <c r="AT186" i="1"/>
  <c r="AU186" i="1"/>
  <c r="AV186" i="1"/>
  <c r="CR186" i="1" s="1"/>
  <c r="CP186" i="1" s="1"/>
  <c r="BI186" i="1"/>
  <c r="BQ186" i="1"/>
  <c r="BY186" i="1"/>
  <c r="CV186" i="1" s="1"/>
  <c r="CD186" i="1"/>
  <c r="CF186" i="1"/>
  <c r="CK186" i="1"/>
  <c r="CM186" i="1"/>
  <c r="CS186" i="1"/>
  <c r="CU186" i="1"/>
  <c r="S50" i="1"/>
  <c r="V50" i="1"/>
  <c r="W50" i="1" s="1"/>
  <c r="AB50" i="1"/>
  <c r="AC50" i="1" s="1"/>
  <c r="AG50" i="1"/>
  <c r="AT50" i="1"/>
  <c r="AU50" i="1"/>
  <c r="AV50" i="1"/>
  <c r="CR50" i="1" s="1"/>
  <c r="CP50" i="1" s="1"/>
  <c r="BI50" i="1"/>
  <c r="BQ50" i="1"/>
  <c r="BY50" i="1"/>
  <c r="CD50" i="1"/>
  <c r="CF50" i="1"/>
  <c r="CM50" i="1"/>
  <c r="CS50" i="1"/>
  <c r="CU50" i="1"/>
  <c r="S188" i="1"/>
  <c r="V188" i="1"/>
  <c r="W188" i="1" s="1"/>
  <c r="AB188" i="1"/>
  <c r="AC188" i="1" s="1"/>
  <c r="AG188" i="1"/>
  <c r="AT188" i="1"/>
  <c r="AU188" i="1"/>
  <c r="AV188" i="1"/>
  <c r="CR188" i="1" s="1"/>
  <c r="BI188" i="1"/>
  <c r="BQ188" i="1"/>
  <c r="BY188" i="1"/>
  <c r="CD188" i="1"/>
  <c r="CF188" i="1"/>
  <c r="CK188" i="1"/>
  <c r="CM188" i="1"/>
  <c r="DD188" i="1" s="1"/>
  <c r="CS188" i="1"/>
  <c r="CT188" i="1" s="1"/>
  <c r="CU188" i="1"/>
  <c r="CW188" i="1"/>
  <c r="S189" i="1"/>
  <c r="V189" i="1"/>
  <c r="W189" i="1" s="1"/>
  <c r="X189" i="1"/>
  <c r="AB189" i="1" s="1"/>
  <c r="AC189" i="1" s="1"/>
  <c r="AG189" i="1"/>
  <c r="AT189" i="1"/>
  <c r="AU189" i="1"/>
  <c r="AV189" i="1"/>
  <c r="CR189" i="1" s="1"/>
  <c r="CN189" i="1" s="1"/>
  <c r="BI189" i="1"/>
  <c r="BQ189" i="1"/>
  <c r="BY189" i="1"/>
  <c r="CV189" i="1" s="1"/>
  <c r="CD189" i="1"/>
  <c r="CF189" i="1"/>
  <c r="CK189" i="1"/>
  <c r="CM189" i="1"/>
  <c r="CS189" i="1"/>
  <c r="CU189" i="1"/>
  <c r="S190" i="1"/>
  <c r="V190" i="1"/>
  <c r="W190" i="1" s="1"/>
  <c r="AB190" i="1"/>
  <c r="AC190" i="1" s="1"/>
  <c r="AG190" i="1"/>
  <c r="AT190" i="1"/>
  <c r="AU190" i="1"/>
  <c r="AV190" i="1"/>
  <c r="CR190" i="1" s="1"/>
  <c r="CN190" i="1" s="1"/>
  <c r="BI190" i="1"/>
  <c r="BQ190" i="1"/>
  <c r="BY190" i="1"/>
  <c r="CV190" i="1" s="1"/>
  <c r="CD190" i="1"/>
  <c r="CF190" i="1"/>
  <c r="CK190" i="1"/>
  <c r="CM190" i="1"/>
  <c r="DD190" i="1" s="1"/>
  <c r="CS190" i="1"/>
  <c r="CU190" i="1"/>
  <c r="CW190" i="1"/>
  <c r="S191" i="1"/>
  <c r="V191" i="1"/>
  <c r="W191" i="1" s="1"/>
  <c r="X191" i="1"/>
  <c r="AB191" i="1" s="1"/>
  <c r="AC191" i="1" s="1"/>
  <c r="AG191" i="1"/>
  <c r="AT191" i="1"/>
  <c r="AU191" i="1"/>
  <c r="AV191" i="1"/>
  <c r="CR191" i="1" s="1"/>
  <c r="BI191" i="1"/>
  <c r="BQ191" i="1"/>
  <c r="BY191" i="1"/>
  <c r="CD191" i="1"/>
  <c r="CF191" i="1"/>
  <c r="CK191" i="1"/>
  <c r="CM191" i="1"/>
  <c r="CS191" i="1"/>
  <c r="CU191" i="1"/>
  <c r="S192" i="1"/>
  <c r="V192" i="1"/>
  <c r="W192" i="1" s="1"/>
  <c r="AB192" i="1"/>
  <c r="AC192" i="1" s="1"/>
  <c r="AG192" i="1"/>
  <c r="AT192" i="1"/>
  <c r="AU192" i="1"/>
  <c r="AV192" i="1"/>
  <c r="CR192" i="1" s="1"/>
  <c r="CP192" i="1" s="1"/>
  <c r="BI192" i="1"/>
  <c r="BQ192" i="1"/>
  <c r="BY192" i="1"/>
  <c r="CD192" i="1"/>
  <c r="CF192" i="1"/>
  <c r="CK192" i="1"/>
  <c r="CM192" i="1"/>
  <c r="DD192" i="1" s="1"/>
  <c r="CS192" i="1"/>
  <c r="CU192" i="1"/>
  <c r="CW192" i="1"/>
  <c r="S193" i="1"/>
  <c r="V193" i="1"/>
  <c r="W193" i="1" s="1"/>
  <c r="AB193" i="1"/>
  <c r="AC193" i="1" s="1"/>
  <c r="AG193" i="1"/>
  <c r="AT193" i="1"/>
  <c r="AU193" i="1"/>
  <c r="AV193" i="1"/>
  <c r="CR193" i="1" s="1"/>
  <c r="CP193" i="1" s="1"/>
  <c r="BI193" i="1"/>
  <c r="BQ193" i="1"/>
  <c r="BY193" i="1"/>
  <c r="CD193" i="1"/>
  <c r="CF193" i="1"/>
  <c r="CK193" i="1"/>
  <c r="CM193" i="1"/>
  <c r="CS193" i="1"/>
  <c r="CU193" i="1"/>
  <c r="CX193" i="1"/>
  <c r="S194" i="1"/>
  <c r="V194" i="1"/>
  <c r="W194" i="1" s="1"/>
  <c r="AB194" i="1"/>
  <c r="AC194" i="1" s="1"/>
  <c r="AG194" i="1"/>
  <c r="AT194" i="1"/>
  <c r="AU194" i="1"/>
  <c r="AV194" i="1"/>
  <c r="CR194" i="1" s="1"/>
  <c r="BI194" i="1"/>
  <c r="BQ194" i="1"/>
  <c r="BY194" i="1"/>
  <c r="CV194" i="1" s="1"/>
  <c r="CD194" i="1"/>
  <c r="CF194" i="1"/>
  <c r="CK194" i="1"/>
  <c r="CM194" i="1"/>
  <c r="DD194" i="1" s="1"/>
  <c r="CS194" i="1"/>
  <c r="CU194" i="1"/>
  <c r="CW194" i="1"/>
  <c r="S195" i="1"/>
  <c r="V195" i="1"/>
  <c r="W195" i="1" s="1"/>
  <c r="X195" i="1"/>
  <c r="AB195" i="1" s="1"/>
  <c r="AC195" i="1" s="1"/>
  <c r="AG195" i="1"/>
  <c r="AT195" i="1"/>
  <c r="AU195" i="1"/>
  <c r="AV195" i="1"/>
  <c r="CR195" i="1" s="1"/>
  <c r="BI195" i="1"/>
  <c r="BQ195" i="1"/>
  <c r="CT195" i="1" s="1"/>
  <c r="BY195" i="1"/>
  <c r="CD195" i="1"/>
  <c r="CF195" i="1"/>
  <c r="CK195" i="1"/>
  <c r="CM195" i="1"/>
  <c r="DD195" i="1" s="1"/>
  <c r="CS195" i="1"/>
  <c r="CU195" i="1"/>
  <c r="CW195" i="1"/>
  <c r="S197" i="1"/>
  <c r="V197" i="1"/>
  <c r="W197" i="1" s="1"/>
  <c r="AB197" i="1"/>
  <c r="AC197" i="1" s="1"/>
  <c r="AG197" i="1"/>
  <c r="AT197" i="1"/>
  <c r="AU197" i="1"/>
  <c r="AV197" i="1"/>
  <c r="CR197" i="1" s="1"/>
  <c r="BI197" i="1"/>
  <c r="BQ197" i="1"/>
  <c r="BY197" i="1"/>
  <c r="CD197" i="1"/>
  <c r="CF197" i="1"/>
  <c r="CK197" i="1"/>
  <c r="CM197" i="1"/>
  <c r="DD197" i="1" s="1"/>
  <c r="CS197" i="1"/>
  <c r="CT197" i="1" s="1"/>
  <c r="CU197" i="1"/>
  <c r="CW197" i="1"/>
  <c r="S198" i="1"/>
  <c r="V198" i="1"/>
  <c r="W198" i="1" s="1"/>
  <c r="AB198" i="1"/>
  <c r="AC198" i="1" s="1"/>
  <c r="AG198" i="1"/>
  <c r="AT198" i="1"/>
  <c r="AU198" i="1"/>
  <c r="AV198" i="1"/>
  <c r="CR198" i="1" s="1"/>
  <c r="CN198" i="1" s="1"/>
  <c r="BI198" i="1"/>
  <c r="BQ198" i="1"/>
  <c r="BY198" i="1"/>
  <c r="CV198" i="1" s="1"/>
  <c r="CD198" i="1"/>
  <c r="CF198" i="1"/>
  <c r="CK198" i="1"/>
  <c r="CM198" i="1"/>
  <c r="DD198" i="1" s="1"/>
  <c r="CS198" i="1"/>
  <c r="CT198" i="1" s="1"/>
  <c r="CU198" i="1"/>
  <c r="CW198" i="1"/>
  <c r="S199" i="1"/>
  <c r="V199" i="1"/>
  <c r="W199" i="1" s="1"/>
  <c r="AB199" i="1"/>
  <c r="AC199" i="1" s="1"/>
  <c r="AG199" i="1"/>
  <c r="AT199" i="1"/>
  <c r="AU199" i="1"/>
  <c r="AV199" i="1"/>
  <c r="CR199" i="1" s="1"/>
  <c r="CP199" i="1" s="1"/>
  <c r="BI199" i="1"/>
  <c r="BQ199" i="1"/>
  <c r="BY199" i="1"/>
  <c r="CD199" i="1"/>
  <c r="CF199" i="1"/>
  <c r="CK199" i="1"/>
  <c r="CM199" i="1"/>
  <c r="CW199" i="1" s="1"/>
  <c r="CS199" i="1"/>
  <c r="CU199" i="1"/>
  <c r="S200" i="1"/>
  <c r="V200" i="1"/>
  <c r="W200" i="1" s="1"/>
  <c r="AB200" i="1"/>
  <c r="AC200" i="1" s="1"/>
  <c r="AG200" i="1"/>
  <c r="AT200" i="1"/>
  <c r="AU200" i="1"/>
  <c r="AV200" i="1"/>
  <c r="CR200" i="1" s="1"/>
  <c r="BI200" i="1"/>
  <c r="BQ200" i="1"/>
  <c r="BY200" i="1"/>
  <c r="CD200" i="1"/>
  <c r="CF200" i="1"/>
  <c r="CK200" i="1"/>
  <c r="CM200" i="1"/>
  <c r="DD200" i="1" s="1"/>
  <c r="CS200" i="1"/>
  <c r="CU200" i="1"/>
  <c r="CW200" i="1"/>
  <c r="S201" i="1"/>
  <c r="V201" i="1"/>
  <c r="W201" i="1" s="1"/>
  <c r="AB201" i="1"/>
  <c r="AC201" i="1" s="1"/>
  <c r="AG201" i="1"/>
  <c r="AT201" i="1"/>
  <c r="AU201" i="1"/>
  <c r="AV201" i="1"/>
  <c r="CR201" i="1" s="1"/>
  <c r="BI201" i="1"/>
  <c r="BQ201" i="1"/>
  <c r="BY201" i="1"/>
  <c r="CD201" i="1"/>
  <c r="CF201" i="1"/>
  <c r="CK201" i="1"/>
  <c r="CM201" i="1"/>
  <c r="CS201" i="1"/>
  <c r="CU201" i="1"/>
  <c r="S202" i="1"/>
  <c r="V202" i="1"/>
  <c r="W202" i="1" s="1"/>
  <c r="AB202" i="1"/>
  <c r="AC202" i="1" s="1"/>
  <c r="AG202" i="1"/>
  <c r="AT202" i="1"/>
  <c r="AU202" i="1"/>
  <c r="AV202" i="1"/>
  <c r="CR202" i="1" s="1"/>
  <c r="CN202" i="1" s="1"/>
  <c r="BI202" i="1"/>
  <c r="BQ202" i="1"/>
  <c r="BY202" i="1"/>
  <c r="CV202" i="1" s="1"/>
  <c r="CD202" i="1"/>
  <c r="CF202" i="1"/>
  <c r="CK202" i="1"/>
  <c r="CM202" i="1"/>
  <c r="CS202" i="1"/>
  <c r="CU202" i="1"/>
  <c r="CX202" i="1"/>
  <c r="S203" i="1"/>
  <c r="V203" i="1"/>
  <c r="W203" i="1" s="1"/>
  <c r="AB203" i="1"/>
  <c r="AC203" i="1" s="1"/>
  <c r="AG203" i="1"/>
  <c r="AT203" i="1"/>
  <c r="AU203" i="1"/>
  <c r="AV203" i="1"/>
  <c r="CR203" i="1" s="1"/>
  <c r="BI203" i="1"/>
  <c r="BQ203" i="1"/>
  <c r="BY203" i="1"/>
  <c r="CD203" i="1"/>
  <c r="CF203" i="1"/>
  <c r="CK203" i="1"/>
  <c r="CM203" i="1"/>
  <c r="DD203" i="1" s="1"/>
  <c r="CS203" i="1"/>
  <c r="CU203" i="1"/>
  <c r="CW203" i="1"/>
  <c r="S204" i="1"/>
  <c r="V204" i="1"/>
  <c r="W204" i="1" s="1"/>
  <c r="AB204" i="1"/>
  <c r="AC204" i="1" s="1"/>
  <c r="AG204" i="1"/>
  <c r="AT204" i="1"/>
  <c r="AU204" i="1"/>
  <c r="AV204" i="1"/>
  <c r="CR204" i="1" s="1"/>
  <c r="BI204" i="1"/>
  <c r="BQ204" i="1"/>
  <c r="BY204" i="1"/>
  <c r="CD204" i="1"/>
  <c r="CF204" i="1"/>
  <c r="CK204" i="1"/>
  <c r="CM204" i="1"/>
  <c r="CS204" i="1"/>
  <c r="CU204" i="1"/>
  <c r="S205" i="1"/>
  <c r="V205" i="1"/>
  <c r="W205" i="1" s="1"/>
  <c r="AB205" i="1"/>
  <c r="AC205" i="1" s="1"/>
  <c r="AG205" i="1"/>
  <c r="AT205" i="1"/>
  <c r="AU205" i="1"/>
  <c r="AV205" i="1"/>
  <c r="CR205" i="1" s="1"/>
  <c r="CP205" i="1" s="1"/>
  <c r="BI205" i="1"/>
  <c r="BQ205" i="1"/>
  <c r="BY205" i="1"/>
  <c r="CV205" i="1" s="1"/>
  <c r="CD205" i="1"/>
  <c r="CF205" i="1"/>
  <c r="CK205" i="1"/>
  <c r="CM205" i="1"/>
  <c r="DD205" i="1" s="1"/>
  <c r="CS205" i="1"/>
  <c r="CU205" i="1"/>
  <c r="CW205" i="1"/>
  <c r="S206" i="1"/>
  <c r="V206" i="1"/>
  <c r="W206" i="1" s="1"/>
  <c r="AB206" i="1"/>
  <c r="AC206" i="1" s="1"/>
  <c r="AG206" i="1"/>
  <c r="AT206" i="1"/>
  <c r="AU206" i="1"/>
  <c r="AV206" i="1"/>
  <c r="CR206" i="1" s="1"/>
  <c r="CP206" i="1" s="1"/>
  <c r="BI206" i="1"/>
  <c r="BQ206" i="1"/>
  <c r="BY206" i="1"/>
  <c r="CV206" i="1" s="1"/>
  <c r="CD206" i="1"/>
  <c r="CF206" i="1"/>
  <c r="CK206" i="1"/>
  <c r="CM206" i="1"/>
  <c r="DD206" i="1" s="1"/>
  <c r="CS206" i="1"/>
  <c r="CU206" i="1"/>
  <c r="CW206" i="1"/>
  <c r="S208" i="1"/>
  <c r="V208" i="1"/>
  <c r="W208" i="1" s="1"/>
  <c r="AB208" i="1"/>
  <c r="AC208" i="1" s="1"/>
  <c r="AG208" i="1"/>
  <c r="AT208" i="1"/>
  <c r="AU208" i="1"/>
  <c r="AV208" i="1"/>
  <c r="CR208" i="1" s="1"/>
  <c r="BI208" i="1"/>
  <c r="BQ208" i="1"/>
  <c r="CT208" i="1" s="1"/>
  <c r="BY208" i="1"/>
  <c r="CD208" i="1"/>
  <c r="CF208" i="1"/>
  <c r="DA208" i="1" s="1"/>
  <c r="CK208" i="1"/>
  <c r="CM208" i="1"/>
  <c r="CS208" i="1"/>
  <c r="CU208" i="1"/>
  <c r="CX208" i="1"/>
  <c r="S209" i="1"/>
  <c r="V209" i="1"/>
  <c r="W209" i="1" s="1"/>
  <c r="AB209" i="1"/>
  <c r="AC209" i="1" s="1"/>
  <c r="AG209" i="1"/>
  <c r="AT209" i="1"/>
  <c r="AU209" i="1"/>
  <c r="AV209" i="1"/>
  <c r="BI209" i="1"/>
  <c r="CV209" i="1" s="1"/>
  <c r="BQ209" i="1"/>
  <c r="BY209" i="1"/>
  <c r="CD209" i="1"/>
  <c r="CF209" i="1"/>
  <c r="CK209" i="1"/>
  <c r="CM209" i="1"/>
  <c r="DD209" i="1" s="1"/>
  <c r="CS209" i="1"/>
  <c r="CT209" i="1" s="1"/>
  <c r="CU209" i="1"/>
  <c r="CW209" i="1"/>
  <c r="S210" i="1"/>
  <c r="V210" i="1"/>
  <c r="W210" i="1" s="1"/>
  <c r="AB210" i="1"/>
  <c r="AC210" i="1" s="1"/>
  <c r="AG210" i="1"/>
  <c r="AT210" i="1"/>
  <c r="AU210" i="1"/>
  <c r="AV210" i="1"/>
  <c r="CR210" i="1" s="1"/>
  <c r="CN210" i="1" s="1"/>
  <c r="BI210" i="1"/>
  <c r="BQ210" i="1"/>
  <c r="BY210" i="1"/>
  <c r="CD210" i="1"/>
  <c r="CF210" i="1"/>
  <c r="CK210" i="1"/>
  <c r="CM210" i="1"/>
  <c r="DD210" i="1" s="1"/>
  <c r="CS210" i="1"/>
  <c r="CT210" i="1" s="1"/>
  <c r="CU210" i="1"/>
  <c r="CW210" i="1"/>
  <c r="S212" i="1"/>
  <c r="V212" i="1"/>
  <c r="W212" i="1" s="1"/>
  <c r="AB212" i="1"/>
  <c r="AC212" i="1" s="1"/>
  <c r="AG212" i="1"/>
  <c r="AT212" i="1"/>
  <c r="AU212" i="1"/>
  <c r="AV212" i="1"/>
  <c r="BI212" i="1"/>
  <c r="BQ212" i="1"/>
  <c r="CS212" i="1" s="1"/>
  <c r="CT212" i="1" s="1"/>
  <c r="BY212" i="1"/>
  <c r="CD212" i="1"/>
  <c r="CF212" i="1"/>
  <c r="CK212" i="1"/>
  <c r="CM212" i="1"/>
  <c r="DD212" i="1" s="1"/>
  <c r="CU212" i="1"/>
  <c r="CW212" i="1"/>
  <c r="S75" i="1"/>
  <c r="V75" i="1"/>
  <c r="W75" i="1" s="1"/>
  <c r="AB75" i="1"/>
  <c r="AC75" i="1" s="1"/>
  <c r="AG75" i="1"/>
  <c r="AT75" i="1"/>
  <c r="AU75" i="1"/>
  <c r="AV75" i="1"/>
  <c r="BI75" i="1"/>
  <c r="BQ75" i="1"/>
  <c r="BY75" i="1"/>
  <c r="CD75" i="1"/>
  <c r="CF75" i="1"/>
  <c r="CK75" i="1"/>
  <c r="CM75" i="1"/>
  <c r="CW75" i="1" s="1"/>
  <c r="CS75" i="1"/>
  <c r="CU75" i="1"/>
  <c r="S74" i="1"/>
  <c r="V74" i="1"/>
  <c r="W74" i="1" s="1"/>
  <c r="AB74" i="1"/>
  <c r="AC74" i="1" s="1"/>
  <c r="AG74" i="1"/>
  <c r="AT74" i="1"/>
  <c r="AU74" i="1"/>
  <c r="AV74" i="1"/>
  <c r="CR74" i="1" s="1"/>
  <c r="BI74" i="1"/>
  <c r="BQ74" i="1"/>
  <c r="CS74" i="1" s="1"/>
  <c r="CT74" i="1" s="1"/>
  <c r="BY74" i="1"/>
  <c r="CV74" i="1" s="1"/>
  <c r="CD74" i="1"/>
  <c r="CF74" i="1"/>
  <c r="CK74" i="1"/>
  <c r="CM74" i="1"/>
  <c r="CW74" i="1" s="1"/>
  <c r="CU74" i="1"/>
  <c r="S214" i="1"/>
  <c r="V214" i="1"/>
  <c r="W214" i="1" s="1"/>
  <c r="AB214" i="1"/>
  <c r="AC214" i="1" s="1"/>
  <c r="AG214" i="1"/>
  <c r="AT214" i="1"/>
  <c r="AU214" i="1"/>
  <c r="AV214" i="1"/>
  <c r="CR214" i="1" s="1"/>
  <c r="CP214" i="1" s="1"/>
  <c r="BI214" i="1"/>
  <c r="BQ214" i="1"/>
  <c r="BY214" i="1"/>
  <c r="CD214" i="1"/>
  <c r="CF214" i="1"/>
  <c r="CK214" i="1"/>
  <c r="CM214" i="1"/>
  <c r="CW214" i="1" s="1"/>
  <c r="CS214" i="1"/>
  <c r="CT214" i="1" s="1"/>
  <c r="CU214" i="1"/>
  <c r="S215" i="1"/>
  <c r="V215" i="1"/>
  <c r="W215" i="1" s="1"/>
  <c r="AB215" i="1"/>
  <c r="AC215" i="1" s="1"/>
  <c r="AG215" i="1"/>
  <c r="AT215" i="1"/>
  <c r="AU215" i="1"/>
  <c r="AV215" i="1"/>
  <c r="CR215" i="1" s="1"/>
  <c r="CN215" i="1" s="1"/>
  <c r="BI215" i="1"/>
  <c r="BQ215" i="1"/>
  <c r="BY215" i="1"/>
  <c r="CV215" i="1" s="1"/>
  <c r="CD215" i="1"/>
  <c r="CF215" i="1"/>
  <c r="CK215" i="1"/>
  <c r="CM215" i="1"/>
  <c r="DD215" i="1" s="1"/>
  <c r="CS215" i="1"/>
  <c r="CT215" i="1" s="1"/>
  <c r="CU215" i="1"/>
  <c r="CW215" i="1"/>
  <c r="S216" i="1"/>
  <c r="V216" i="1"/>
  <c r="W216" i="1" s="1"/>
  <c r="AB216" i="1"/>
  <c r="AC216" i="1" s="1"/>
  <c r="AG216" i="1"/>
  <c r="AT216" i="1"/>
  <c r="AU216" i="1"/>
  <c r="AV216" i="1"/>
  <c r="CR216" i="1" s="1"/>
  <c r="CP216" i="1" s="1"/>
  <c r="BI216" i="1"/>
  <c r="BQ216" i="1"/>
  <c r="BY216" i="1"/>
  <c r="CD216" i="1"/>
  <c r="CF216" i="1"/>
  <c r="CK216" i="1"/>
  <c r="CM216" i="1"/>
  <c r="DD216" i="1" s="1"/>
  <c r="CS216" i="1"/>
  <c r="CU216" i="1"/>
  <c r="CW216" i="1"/>
  <c r="S220" i="1"/>
  <c r="V220" i="1"/>
  <c r="W220" i="1" s="1"/>
  <c r="X220" i="1"/>
  <c r="AB220" i="1" s="1"/>
  <c r="AC220" i="1" s="1"/>
  <c r="AG220" i="1"/>
  <c r="AT220" i="1"/>
  <c r="AU220" i="1"/>
  <c r="AV220" i="1"/>
  <c r="CR220" i="1" s="1"/>
  <c r="BI220" i="1"/>
  <c r="BQ220" i="1"/>
  <c r="BY220" i="1"/>
  <c r="CD220" i="1"/>
  <c r="CF220" i="1"/>
  <c r="CK220" i="1"/>
  <c r="CM220" i="1"/>
  <c r="DD220" i="1" s="1"/>
  <c r="CS220" i="1"/>
  <c r="CU220" i="1"/>
  <c r="CW220" i="1"/>
  <c r="S222" i="1"/>
  <c r="V222" i="1"/>
  <c r="W222" i="1" s="1"/>
  <c r="AB222" i="1"/>
  <c r="AC222" i="1" s="1"/>
  <c r="AG222" i="1"/>
  <c r="AT222" i="1"/>
  <c r="AU222" i="1"/>
  <c r="AV222" i="1"/>
  <c r="CR222" i="1" s="1"/>
  <c r="BI222" i="1"/>
  <c r="BQ222" i="1"/>
  <c r="BY222" i="1"/>
  <c r="CD222" i="1"/>
  <c r="CF222" i="1"/>
  <c r="CK222" i="1"/>
  <c r="CM222" i="1"/>
  <c r="DD222" i="1" s="1"/>
  <c r="CS222" i="1"/>
  <c r="CU222" i="1"/>
  <c r="CW222" i="1"/>
  <c r="S225" i="1"/>
  <c r="V225" i="1"/>
  <c r="W225" i="1" s="1"/>
  <c r="AB225" i="1"/>
  <c r="AC225" i="1" s="1"/>
  <c r="AG225" i="1"/>
  <c r="AT225" i="1"/>
  <c r="AU225" i="1"/>
  <c r="AV225" i="1"/>
  <c r="CR225" i="1" s="1"/>
  <c r="BI225" i="1"/>
  <c r="BQ225" i="1"/>
  <c r="BY225" i="1"/>
  <c r="CV225" i="1" s="1"/>
  <c r="CD225" i="1"/>
  <c r="CF225" i="1"/>
  <c r="CK225" i="1"/>
  <c r="CM225" i="1"/>
  <c r="DD225" i="1" s="1"/>
  <c r="CS225" i="1"/>
  <c r="CU225" i="1"/>
  <c r="CW225" i="1"/>
  <c r="S226" i="1"/>
  <c r="V226" i="1"/>
  <c r="W226" i="1" s="1"/>
  <c r="AB226" i="1"/>
  <c r="AC226" i="1" s="1"/>
  <c r="AG226" i="1"/>
  <c r="AT226" i="1"/>
  <c r="AU226" i="1"/>
  <c r="AV226" i="1"/>
  <c r="CR226" i="1" s="1"/>
  <c r="CP226" i="1" s="1"/>
  <c r="BI226" i="1"/>
  <c r="BQ226" i="1"/>
  <c r="BY226" i="1"/>
  <c r="CV226" i="1" s="1"/>
  <c r="CD226" i="1"/>
  <c r="CF226" i="1"/>
  <c r="CK226" i="1"/>
  <c r="CM226" i="1"/>
  <c r="DD226" i="1" s="1"/>
  <c r="CS226" i="1"/>
  <c r="CU226" i="1"/>
  <c r="CW226" i="1"/>
  <c r="S228" i="1"/>
  <c r="V228" i="1"/>
  <c r="W228" i="1" s="1"/>
  <c r="AB228" i="1"/>
  <c r="AC228" i="1" s="1"/>
  <c r="AG228" i="1"/>
  <c r="AT228" i="1"/>
  <c r="AU228" i="1"/>
  <c r="AV228" i="1"/>
  <c r="CR228" i="1" s="1"/>
  <c r="BI228" i="1"/>
  <c r="BQ228" i="1"/>
  <c r="CT228" i="1" s="1"/>
  <c r="BY228" i="1"/>
  <c r="CD228" i="1"/>
  <c r="CF228" i="1"/>
  <c r="CK228" i="1"/>
  <c r="CM228" i="1"/>
  <c r="DD228" i="1" s="1"/>
  <c r="CS228" i="1"/>
  <c r="CU228" i="1"/>
  <c r="CW228" i="1"/>
  <c r="S232" i="1"/>
  <c r="V232" i="1"/>
  <c r="W232" i="1" s="1"/>
  <c r="AB232" i="1"/>
  <c r="AC232" i="1" s="1"/>
  <c r="AG232" i="1"/>
  <c r="AT232" i="1"/>
  <c r="AU232" i="1"/>
  <c r="AV232" i="1"/>
  <c r="CR232" i="1" s="1"/>
  <c r="CN232" i="1" s="1"/>
  <c r="BI232" i="1"/>
  <c r="CV232" i="1" s="1"/>
  <c r="BQ232" i="1"/>
  <c r="BY232" i="1"/>
  <c r="CD232" i="1"/>
  <c r="CF232" i="1"/>
  <c r="CK232" i="1"/>
  <c r="CM232" i="1"/>
  <c r="DD232" i="1" s="1"/>
  <c r="CS232" i="1"/>
  <c r="CT232" i="1" s="1"/>
  <c r="CU232" i="1"/>
  <c r="CW232" i="1"/>
  <c r="S233" i="1"/>
  <c r="V233" i="1"/>
  <c r="W233" i="1" s="1"/>
  <c r="AB233" i="1"/>
  <c r="AC233" i="1" s="1"/>
  <c r="AG233" i="1"/>
  <c r="AT233" i="1"/>
  <c r="AU233" i="1"/>
  <c r="AV233" i="1"/>
  <c r="CR233" i="1" s="1"/>
  <c r="BI233" i="1"/>
  <c r="BQ233" i="1"/>
  <c r="BY233" i="1"/>
  <c r="CV233" i="1" s="1"/>
  <c r="CD233" i="1"/>
  <c r="CF233" i="1"/>
  <c r="CK233" i="1"/>
  <c r="CM233" i="1"/>
  <c r="DD233" i="1" s="1"/>
  <c r="CS233" i="1"/>
  <c r="CT233" i="1" s="1"/>
  <c r="CU233" i="1"/>
  <c r="CW233" i="1"/>
  <c r="S234" i="1"/>
  <c r="V234" i="1"/>
  <c r="W234" i="1" s="1"/>
  <c r="AB234" i="1"/>
  <c r="AC234" i="1" s="1"/>
  <c r="AG234" i="1"/>
  <c r="AT234" i="1"/>
  <c r="AU234" i="1"/>
  <c r="AV234" i="1"/>
  <c r="CR234" i="1" s="1"/>
  <c r="BI234" i="1"/>
  <c r="BQ234" i="1"/>
  <c r="BY234" i="1"/>
  <c r="CD234" i="1"/>
  <c r="CF234" i="1"/>
  <c r="CK234" i="1"/>
  <c r="CM234" i="1"/>
  <c r="DD234" i="1" s="1"/>
  <c r="CS234" i="1"/>
  <c r="CU234" i="1"/>
  <c r="CW234" i="1"/>
  <c r="S235" i="1"/>
  <c r="V235" i="1"/>
  <c r="W235" i="1" s="1"/>
  <c r="AB235" i="1"/>
  <c r="AC235" i="1" s="1"/>
  <c r="AG235" i="1"/>
  <c r="AT235" i="1"/>
  <c r="AU235" i="1"/>
  <c r="AV235" i="1"/>
  <c r="CR235" i="1" s="1"/>
  <c r="BI235" i="1"/>
  <c r="BQ235" i="1"/>
  <c r="BY235" i="1"/>
  <c r="CV235" i="1" s="1"/>
  <c r="CD235" i="1"/>
  <c r="CF235" i="1"/>
  <c r="CK235" i="1"/>
  <c r="CM235" i="1"/>
  <c r="DD235" i="1" s="1"/>
  <c r="CS235" i="1"/>
  <c r="CU235" i="1"/>
  <c r="CW235" i="1"/>
  <c r="S236" i="1"/>
  <c r="V236" i="1"/>
  <c r="W236" i="1" s="1"/>
  <c r="AB236" i="1"/>
  <c r="AC236" i="1" s="1"/>
  <c r="AG236" i="1"/>
  <c r="AT236" i="1"/>
  <c r="AU236" i="1"/>
  <c r="AV236" i="1"/>
  <c r="CR236" i="1" s="1"/>
  <c r="BI236" i="1"/>
  <c r="BQ236" i="1"/>
  <c r="BY236" i="1"/>
  <c r="CD236" i="1"/>
  <c r="CF236" i="1"/>
  <c r="CK236" i="1"/>
  <c r="CM236" i="1"/>
  <c r="DD236" i="1" s="1"/>
  <c r="CS236" i="1"/>
  <c r="CU236" i="1"/>
  <c r="CW236" i="1"/>
  <c r="S238" i="1"/>
  <c r="V238" i="1"/>
  <c r="W238" i="1" s="1"/>
  <c r="AB238" i="1"/>
  <c r="AC238" i="1" s="1"/>
  <c r="AG238" i="1"/>
  <c r="AT238" i="1"/>
  <c r="AU238" i="1"/>
  <c r="AV238" i="1"/>
  <c r="CR238" i="1" s="1"/>
  <c r="CP238" i="1" s="1"/>
  <c r="BI238" i="1"/>
  <c r="BQ238" i="1"/>
  <c r="BY238" i="1"/>
  <c r="CV238" i="1" s="1"/>
  <c r="CD238" i="1"/>
  <c r="CF238" i="1"/>
  <c r="CK238" i="1"/>
  <c r="CM238" i="1"/>
  <c r="DD238" i="1" s="1"/>
  <c r="CS238" i="1"/>
  <c r="CU238" i="1"/>
  <c r="CW238" i="1"/>
  <c r="S239" i="1"/>
  <c r="V239" i="1"/>
  <c r="W239" i="1" s="1"/>
  <c r="AB239" i="1"/>
  <c r="AC239" i="1" s="1"/>
  <c r="AG239" i="1"/>
  <c r="AT239" i="1"/>
  <c r="AU239" i="1"/>
  <c r="AV239" i="1"/>
  <c r="BI239" i="1"/>
  <c r="BQ239" i="1"/>
  <c r="BY239" i="1"/>
  <c r="CV239" i="1" s="1"/>
  <c r="CD239" i="1"/>
  <c r="CF239" i="1"/>
  <c r="CK239" i="1"/>
  <c r="CM239" i="1"/>
  <c r="CS239" i="1"/>
  <c r="CU239" i="1"/>
  <c r="CW239" i="1"/>
  <c r="S240" i="1"/>
  <c r="V240" i="1"/>
  <c r="W240" i="1" s="1"/>
  <c r="AB240" i="1"/>
  <c r="AC240" i="1" s="1"/>
  <c r="AG240" i="1"/>
  <c r="AT240" i="1"/>
  <c r="AU240" i="1"/>
  <c r="AV240" i="1"/>
  <c r="CR240" i="1" s="1"/>
  <c r="CN240" i="1" s="1"/>
  <c r="BI240" i="1"/>
  <c r="BQ240" i="1"/>
  <c r="BY240" i="1"/>
  <c r="CD240" i="1"/>
  <c r="CF240" i="1"/>
  <c r="CK240" i="1"/>
  <c r="CM240" i="1"/>
  <c r="DD240" i="1" s="1"/>
  <c r="CS240" i="1"/>
  <c r="CU240" i="1"/>
  <c r="CW240" i="1"/>
  <c r="S242" i="1"/>
  <c r="V242" i="1"/>
  <c r="W242" i="1" s="1"/>
  <c r="AB242" i="1"/>
  <c r="AC242" i="1" s="1"/>
  <c r="AG242" i="1"/>
  <c r="AT242" i="1"/>
  <c r="AU242" i="1"/>
  <c r="AV242" i="1"/>
  <c r="CR242" i="1" s="1"/>
  <c r="CN242" i="1" s="1"/>
  <c r="BI242" i="1"/>
  <c r="BQ242" i="1"/>
  <c r="BY242" i="1"/>
  <c r="CD242" i="1"/>
  <c r="CF242" i="1"/>
  <c r="CK242" i="1"/>
  <c r="CM242" i="1"/>
  <c r="DD242" i="1" s="1"/>
  <c r="CS242" i="1"/>
  <c r="CT242" i="1" s="1"/>
  <c r="CU242" i="1"/>
  <c r="CW242" i="1"/>
  <c r="S244" i="1"/>
  <c r="V244" i="1"/>
  <c r="W244" i="1" s="1"/>
  <c r="AB244" i="1"/>
  <c r="AC244" i="1" s="1"/>
  <c r="AG244" i="1"/>
  <c r="AT244" i="1"/>
  <c r="AU244" i="1"/>
  <c r="AV244" i="1"/>
  <c r="CR244" i="1" s="1"/>
  <c r="BI244" i="1"/>
  <c r="BQ244" i="1"/>
  <c r="BY244" i="1"/>
  <c r="CD244" i="1"/>
  <c r="CF244" i="1"/>
  <c r="CK244" i="1"/>
  <c r="CM244" i="1"/>
  <c r="CW244" i="1" s="1"/>
  <c r="CS244" i="1"/>
  <c r="CT244" i="1" s="1"/>
  <c r="CU244" i="1"/>
  <c r="S246" i="1"/>
  <c r="V246" i="1"/>
  <c r="W246" i="1" s="1"/>
  <c r="AB246" i="1"/>
  <c r="AC246" i="1" s="1"/>
  <c r="AG246" i="1"/>
  <c r="AT246" i="1"/>
  <c r="AU246" i="1"/>
  <c r="AV246" i="1"/>
  <c r="CR246" i="1" s="1"/>
  <c r="CP246" i="1" s="1"/>
  <c r="BI246" i="1"/>
  <c r="BQ246" i="1"/>
  <c r="BY246" i="1"/>
  <c r="CV246" i="1" s="1"/>
  <c r="CD246" i="1"/>
  <c r="CF246" i="1"/>
  <c r="CK246" i="1"/>
  <c r="CM246" i="1"/>
  <c r="CS246" i="1"/>
  <c r="CT246" i="1" s="1"/>
  <c r="CU246" i="1"/>
  <c r="S247" i="1"/>
  <c r="V247" i="1"/>
  <c r="W247" i="1" s="1"/>
  <c r="AB247" i="1"/>
  <c r="AC247" i="1" s="1"/>
  <c r="AG247" i="1"/>
  <c r="AT247" i="1"/>
  <c r="AU247" i="1"/>
  <c r="AV247" i="1"/>
  <c r="CR247" i="1" s="1"/>
  <c r="BI247" i="1"/>
  <c r="BQ247" i="1"/>
  <c r="BY247" i="1"/>
  <c r="CD247" i="1"/>
  <c r="CF247" i="1"/>
  <c r="CK247" i="1"/>
  <c r="CM247" i="1"/>
  <c r="CW247" i="1" s="1"/>
  <c r="CS247" i="1"/>
  <c r="CU247" i="1"/>
  <c r="CX247" i="1"/>
  <c r="S248" i="1"/>
  <c r="V248" i="1"/>
  <c r="W248" i="1" s="1"/>
  <c r="AB248" i="1"/>
  <c r="AC248" i="1" s="1"/>
  <c r="AG248" i="1"/>
  <c r="AT248" i="1"/>
  <c r="AU248" i="1"/>
  <c r="AV248" i="1"/>
  <c r="CR248" i="1" s="1"/>
  <c r="BI248" i="1"/>
  <c r="BQ248" i="1"/>
  <c r="BY248" i="1"/>
  <c r="CD248" i="1"/>
  <c r="CF248" i="1"/>
  <c r="CK248" i="1"/>
  <c r="CM248" i="1"/>
  <c r="DD248" i="1" s="1"/>
  <c r="CS248" i="1"/>
  <c r="CU248" i="1"/>
  <c r="CW248" i="1"/>
  <c r="S249" i="1"/>
  <c r="V249" i="1"/>
  <c r="W249" i="1" s="1"/>
  <c r="AB249" i="1"/>
  <c r="AC249" i="1" s="1"/>
  <c r="AG249" i="1"/>
  <c r="AT249" i="1"/>
  <c r="AU249" i="1"/>
  <c r="AV249" i="1"/>
  <c r="CR249" i="1" s="1"/>
  <c r="BI249" i="1"/>
  <c r="BQ249" i="1"/>
  <c r="BY249" i="1"/>
  <c r="CD249" i="1"/>
  <c r="CF249" i="1"/>
  <c r="CK249" i="1"/>
  <c r="CM249" i="1"/>
  <c r="DD249" i="1" s="1"/>
  <c r="CS249" i="1"/>
  <c r="CU249" i="1"/>
  <c r="CW249" i="1"/>
  <c r="S250" i="1"/>
  <c r="V250" i="1"/>
  <c r="W250" i="1" s="1"/>
  <c r="AB250" i="1"/>
  <c r="AC250" i="1" s="1"/>
  <c r="AG250" i="1"/>
  <c r="AT250" i="1"/>
  <c r="AU250" i="1"/>
  <c r="AV250" i="1"/>
  <c r="CR250" i="1" s="1"/>
  <c r="CN250" i="1" s="1"/>
  <c r="BI250" i="1"/>
  <c r="BQ250" i="1"/>
  <c r="BY250" i="1"/>
  <c r="CD250" i="1"/>
  <c r="CF250" i="1"/>
  <c r="CK250" i="1"/>
  <c r="CM250" i="1"/>
  <c r="CS250" i="1"/>
  <c r="CU250" i="1"/>
  <c r="CX250" i="1"/>
  <c r="S251" i="1"/>
  <c r="V251" i="1"/>
  <c r="W251" i="1" s="1"/>
  <c r="AB251" i="1"/>
  <c r="AC251" i="1" s="1"/>
  <c r="AG251" i="1"/>
  <c r="AT251" i="1"/>
  <c r="AU251" i="1"/>
  <c r="AV251" i="1"/>
  <c r="CR251" i="1" s="1"/>
  <c r="BI251" i="1"/>
  <c r="BQ251" i="1"/>
  <c r="BY251" i="1"/>
  <c r="CD251" i="1"/>
  <c r="CF251" i="1"/>
  <c r="CK251" i="1"/>
  <c r="CM251" i="1"/>
  <c r="DD251" i="1" s="1"/>
  <c r="CS251" i="1"/>
  <c r="CU251" i="1"/>
  <c r="CW251" i="1"/>
  <c r="S252" i="1"/>
  <c r="V252" i="1"/>
  <c r="W252" i="1" s="1"/>
  <c r="AB252" i="1"/>
  <c r="AC252" i="1" s="1"/>
  <c r="AG252" i="1"/>
  <c r="AT252" i="1"/>
  <c r="AU252" i="1"/>
  <c r="AV252" i="1"/>
  <c r="BI252" i="1"/>
  <c r="BQ252" i="1"/>
  <c r="BY252" i="1"/>
  <c r="CD252" i="1"/>
  <c r="CF252" i="1"/>
  <c r="CK252" i="1"/>
  <c r="CM252" i="1"/>
  <c r="DD252" i="1" s="1"/>
  <c r="CS252" i="1"/>
  <c r="CU252" i="1"/>
  <c r="CW252" i="1"/>
  <c r="S253" i="1"/>
  <c r="V253" i="1"/>
  <c r="W253" i="1" s="1"/>
  <c r="AB253" i="1"/>
  <c r="AC253" i="1" s="1"/>
  <c r="AG253" i="1"/>
  <c r="AT253" i="1"/>
  <c r="AU253" i="1"/>
  <c r="AV253" i="1"/>
  <c r="CR253" i="1" s="1"/>
  <c r="BI253" i="1"/>
  <c r="CV253" i="1" s="1"/>
  <c r="BQ253" i="1"/>
  <c r="CT253" i="1" s="1"/>
  <c r="BY253" i="1"/>
  <c r="CD253" i="1"/>
  <c r="CF253" i="1"/>
  <c r="CK253" i="1"/>
  <c r="CM253" i="1"/>
  <c r="DD253" i="1" s="1"/>
  <c r="CS253" i="1"/>
  <c r="CU253" i="1"/>
  <c r="CW253" i="1"/>
  <c r="S254" i="1"/>
  <c r="V254" i="1"/>
  <c r="W254" i="1" s="1"/>
  <c r="AB254" i="1"/>
  <c r="AC254" i="1" s="1"/>
  <c r="AG254" i="1"/>
  <c r="AT254" i="1"/>
  <c r="AU254" i="1"/>
  <c r="AV254" i="1"/>
  <c r="CR254" i="1" s="1"/>
  <c r="BI254" i="1"/>
  <c r="CV254" i="1" s="1"/>
  <c r="BQ254" i="1"/>
  <c r="BY254" i="1"/>
  <c r="CD254" i="1"/>
  <c r="CF254" i="1"/>
  <c r="CK254" i="1"/>
  <c r="CM254" i="1"/>
  <c r="DD254" i="1" s="1"/>
  <c r="CS254" i="1"/>
  <c r="CT254" i="1" s="1"/>
  <c r="CU254" i="1"/>
  <c r="CW254" i="1"/>
  <c r="S255" i="1"/>
  <c r="V255" i="1"/>
  <c r="W255" i="1" s="1"/>
  <c r="AB255" i="1"/>
  <c r="AC255" i="1" s="1"/>
  <c r="AG255" i="1"/>
  <c r="AT255" i="1"/>
  <c r="AU255" i="1"/>
  <c r="AV255" i="1"/>
  <c r="CR255" i="1" s="1"/>
  <c r="CN255" i="1" s="1"/>
  <c r="BI255" i="1"/>
  <c r="BQ255" i="1"/>
  <c r="BY255" i="1"/>
  <c r="CV255" i="1" s="1"/>
  <c r="CD255" i="1"/>
  <c r="CF255" i="1"/>
  <c r="CK255" i="1"/>
  <c r="CM255" i="1"/>
  <c r="CW255" i="1" s="1"/>
  <c r="CS255" i="1"/>
  <c r="CT255" i="1" s="1"/>
  <c r="CU255" i="1"/>
  <c r="S257" i="1"/>
  <c r="V257" i="1"/>
  <c r="W257" i="1" s="1"/>
  <c r="AB257" i="1"/>
  <c r="AC257" i="1" s="1"/>
  <c r="AG257" i="1"/>
  <c r="AT257" i="1"/>
  <c r="AU257" i="1"/>
  <c r="AV257" i="1"/>
  <c r="CR257" i="1" s="1"/>
  <c r="BI257" i="1"/>
  <c r="BQ257" i="1"/>
  <c r="BY257" i="1"/>
  <c r="CD257" i="1"/>
  <c r="CF257" i="1"/>
  <c r="CK257" i="1"/>
  <c r="CM257" i="1"/>
  <c r="DD257" i="1" s="1"/>
  <c r="CS257" i="1"/>
  <c r="CT257" i="1" s="1"/>
  <c r="CU257" i="1"/>
  <c r="CW257" i="1"/>
  <c r="S258" i="1"/>
  <c r="V258" i="1"/>
  <c r="W258" i="1" s="1"/>
  <c r="AB258" i="1"/>
  <c r="AC258" i="1" s="1"/>
  <c r="AG258" i="1"/>
  <c r="AT258" i="1"/>
  <c r="AU258" i="1"/>
  <c r="AV258" i="1"/>
  <c r="BI258" i="1"/>
  <c r="BQ258" i="1"/>
  <c r="BY258" i="1"/>
  <c r="CV258" i="1" s="1"/>
  <c r="CD258" i="1"/>
  <c r="CF258" i="1"/>
  <c r="CK258" i="1"/>
  <c r="CM258" i="1"/>
  <c r="DD258" i="1" s="1"/>
  <c r="CS258" i="1"/>
  <c r="CU258" i="1"/>
  <c r="CW258" i="1"/>
  <c r="S259" i="1"/>
  <c r="V259" i="1"/>
  <c r="W259" i="1" s="1"/>
  <c r="AB259" i="1"/>
  <c r="AC259" i="1" s="1"/>
  <c r="AG259" i="1"/>
  <c r="AT259" i="1"/>
  <c r="AU259" i="1"/>
  <c r="AV259" i="1"/>
  <c r="CR259" i="1" s="1"/>
  <c r="BI259" i="1"/>
  <c r="BQ259" i="1"/>
  <c r="BY259" i="1"/>
  <c r="CD259" i="1"/>
  <c r="CF259" i="1"/>
  <c r="CK259" i="1"/>
  <c r="CM259" i="1"/>
  <c r="DD259" i="1" s="1"/>
  <c r="CS259" i="1"/>
  <c r="CU259" i="1"/>
  <c r="CW259" i="1"/>
  <c r="S260" i="1"/>
  <c r="V260" i="1"/>
  <c r="W260" i="1" s="1"/>
  <c r="AB260" i="1"/>
  <c r="AC260" i="1" s="1"/>
  <c r="AG260" i="1"/>
  <c r="AT260" i="1"/>
  <c r="AU260" i="1"/>
  <c r="AV260" i="1"/>
  <c r="CR260" i="1" s="1"/>
  <c r="BI260" i="1"/>
  <c r="BQ260" i="1"/>
  <c r="BY260" i="1"/>
  <c r="CD260" i="1"/>
  <c r="CF260" i="1"/>
  <c r="CK260" i="1"/>
  <c r="CM260" i="1"/>
  <c r="DD260" i="1" s="1"/>
  <c r="CS260" i="1"/>
  <c r="CU260" i="1"/>
  <c r="CW260" i="1"/>
  <c r="S261" i="1"/>
  <c r="V261" i="1"/>
  <c r="W261" i="1" s="1"/>
  <c r="AB261" i="1"/>
  <c r="AC261" i="1" s="1"/>
  <c r="AG261" i="1"/>
  <c r="AT261" i="1"/>
  <c r="AU261" i="1"/>
  <c r="AV261" i="1"/>
  <c r="BI261" i="1"/>
  <c r="BQ261" i="1"/>
  <c r="BY261" i="1"/>
  <c r="CV261" i="1" s="1"/>
  <c r="CD261" i="1"/>
  <c r="CF261" i="1"/>
  <c r="CK261" i="1"/>
  <c r="CM261" i="1"/>
  <c r="DD261" i="1" s="1"/>
  <c r="CS261" i="1"/>
  <c r="CT261" i="1" s="1"/>
  <c r="CU261" i="1"/>
  <c r="CW261" i="1"/>
  <c r="S262" i="1"/>
  <c r="V262" i="1"/>
  <c r="W262" i="1" s="1"/>
  <c r="AB262" i="1"/>
  <c r="AC262" i="1" s="1"/>
  <c r="AG262" i="1"/>
  <c r="AT262" i="1"/>
  <c r="AU262" i="1"/>
  <c r="AV262" i="1"/>
  <c r="BI262" i="1"/>
  <c r="BQ262" i="1"/>
  <c r="CT262" i="1" s="1"/>
  <c r="BY262" i="1"/>
  <c r="CD262" i="1"/>
  <c r="CF262" i="1"/>
  <c r="CK262" i="1"/>
  <c r="CM262" i="1"/>
  <c r="CW262" i="1" s="1"/>
  <c r="CS262" i="1"/>
  <c r="CU262" i="1"/>
  <c r="S263" i="1"/>
  <c r="V263" i="1"/>
  <c r="W263" i="1" s="1"/>
  <c r="AB263" i="1"/>
  <c r="AC263" i="1" s="1"/>
  <c r="AG263" i="1"/>
  <c r="AT263" i="1"/>
  <c r="AU263" i="1"/>
  <c r="AV263" i="1"/>
  <c r="BI263" i="1"/>
  <c r="BQ263" i="1"/>
  <c r="CT263" i="1" s="1"/>
  <c r="BY263" i="1"/>
  <c r="CV263" i="1" s="1"/>
  <c r="CD263" i="1"/>
  <c r="CF263" i="1"/>
  <c r="DA263" i="1" s="1"/>
  <c r="CK263" i="1"/>
  <c r="CM263" i="1"/>
  <c r="CS263" i="1"/>
  <c r="CU263" i="1"/>
  <c r="CW263" i="1"/>
  <c r="CX263" i="1"/>
  <c r="S264" i="1"/>
  <c r="V264" i="1"/>
  <c r="W264" i="1" s="1"/>
  <c r="AB264" i="1"/>
  <c r="AC264" i="1" s="1"/>
  <c r="AG264" i="1"/>
  <c r="AT264" i="1"/>
  <c r="AU264" i="1"/>
  <c r="AV264" i="1"/>
  <c r="CR264" i="1" s="1"/>
  <c r="CN264" i="1" s="1"/>
  <c r="BI264" i="1"/>
  <c r="BQ264" i="1"/>
  <c r="BY264" i="1"/>
  <c r="CD264" i="1"/>
  <c r="CF264" i="1"/>
  <c r="CK264" i="1"/>
  <c r="CM264" i="1"/>
  <c r="CS264" i="1"/>
  <c r="CU264" i="1"/>
  <c r="CW264" i="1"/>
  <c r="S265" i="1"/>
  <c r="V265" i="1"/>
  <c r="W265" i="1" s="1"/>
  <c r="AB265" i="1"/>
  <c r="AC265" i="1" s="1"/>
  <c r="AG265" i="1"/>
  <c r="AT265" i="1"/>
  <c r="AU265" i="1"/>
  <c r="AV265" i="1"/>
  <c r="CR265" i="1" s="1"/>
  <c r="CP265" i="1" s="1"/>
  <c r="BI265" i="1"/>
  <c r="BQ265" i="1"/>
  <c r="BY265" i="1"/>
  <c r="CD265" i="1"/>
  <c r="CF265" i="1"/>
  <c r="CK265" i="1"/>
  <c r="CM265" i="1"/>
  <c r="CW265" i="1" s="1"/>
  <c r="CS265" i="1"/>
  <c r="CT265" i="1" s="1"/>
  <c r="CU265" i="1"/>
  <c r="CX265" i="1"/>
  <c r="S266" i="1"/>
  <c r="V266" i="1"/>
  <c r="W266" i="1" s="1"/>
  <c r="AB266" i="1"/>
  <c r="AC266" i="1" s="1"/>
  <c r="AG266" i="1"/>
  <c r="AT266" i="1"/>
  <c r="AU266" i="1"/>
  <c r="AV266" i="1"/>
  <c r="CR266" i="1" s="1"/>
  <c r="CP266" i="1" s="1"/>
  <c r="BI266" i="1"/>
  <c r="BQ266" i="1"/>
  <c r="BY266" i="1"/>
  <c r="CV266" i="1" s="1"/>
  <c r="CD266" i="1"/>
  <c r="CF266" i="1"/>
  <c r="CK266" i="1"/>
  <c r="CM266" i="1"/>
  <c r="DD266" i="1" s="1"/>
  <c r="CS266" i="1"/>
  <c r="CU266" i="1"/>
  <c r="CW266" i="1"/>
  <c r="S269" i="1"/>
  <c r="V269" i="1"/>
  <c r="W269" i="1" s="1"/>
  <c r="AB269" i="1"/>
  <c r="AC269" i="1" s="1"/>
  <c r="AG269" i="1"/>
  <c r="AT269" i="1"/>
  <c r="AU269" i="1"/>
  <c r="AV269" i="1"/>
  <c r="BI269" i="1"/>
  <c r="BQ269" i="1"/>
  <c r="BY269" i="1"/>
  <c r="CD269" i="1"/>
  <c r="CF269" i="1"/>
  <c r="CK269" i="1"/>
  <c r="CM269" i="1"/>
  <c r="DD269" i="1" s="1"/>
  <c r="CS269" i="1"/>
  <c r="CU269" i="1"/>
  <c r="CW269" i="1"/>
  <c r="S271" i="1"/>
  <c r="V271" i="1"/>
  <c r="W271" i="1" s="1"/>
  <c r="AB271" i="1"/>
  <c r="AC271" i="1" s="1"/>
  <c r="AG271" i="1"/>
  <c r="AT271" i="1"/>
  <c r="AU271" i="1"/>
  <c r="AV271" i="1"/>
  <c r="BI271" i="1"/>
  <c r="BQ271" i="1"/>
  <c r="BY271" i="1"/>
  <c r="CD271" i="1"/>
  <c r="CF271" i="1"/>
  <c r="CK271" i="1"/>
  <c r="CM271" i="1"/>
  <c r="DD271" i="1" s="1"/>
  <c r="CS271" i="1"/>
  <c r="CU271" i="1"/>
  <c r="CW271" i="1"/>
  <c r="S105" i="1"/>
  <c r="V105" i="1"/>
  <c r="W105" i="1" s="1"/>
  <c r="AB105" i="1"/>
  <c r="AC105" i="1" s="1"/>
  <c r="AG105" i="1"/>
  <c r="AT105" i="1"/>
  <c r="AU105" i="1"/>
  <c r="AV105" i="1"/>
  <c r="CR105" i="1" s="1"/>
  <c r="CN105" i="1" s="1"/>
  <c r="BI105" i="1"/>
  <c r="BQ105" i="1"/>
  <c r="BY105" i="1"/>
  <c r="CV105" i="1" s="1"/>
  <c r="CD105" i="1"/>
  <c r="CF105" i="1"/>
  <c r="CK105" i="1"/>
  <c r="CM105" i="1"/>
  <c r="DD105" i="1" s="1"/>
  <c r="CS105" i="1"/>
  <c r="CT105" i="1" s="1"/>
  <c r="CU105" i="1"/>
  <c r="CW105" i="1"/>
  <c r="S273" i="1"/>
  <c r="V273" i="1"/>
  <c r="W273" i="1" s="1"/>
  <c r="AB273" i="1"/>
  <c r="AC273" i="1" s="1"/>
  <c r="AG273" i="1"/>
  <c r="AT273" i="1"/>
  <c r="AU273" i="1"/>
  <c r="AV273" i="1"/>
  <c r="CR273" i="1" s="1"/>
  <c r="CN273" i="1" s="1"/>
  <c r="BI273" i="1"/>
  <c r="BQ273" i="1"/>
  <c r="CT273" i="1" s="1"/>
  <c r="BY273" i="1"/>
  <c r="CD273" i="1"/>
  <c r="CF273" i="1"/>
  <c r="DC273" i="1" s="1"/>
  <c r="CK273" i="1"/>
  <c r="CM273" i="1"/>
  <c r="CW273" i="1" s="1"/>
  <c r="CS273" i="1"/>
  <c r="CU273" i="1"/>
  <c r="CX273" i="1"/>
  <c r="S274" i="1"/>
  <c r="V274" i="1"/>
  <c r="W274" i="1" s="1"/>
  <c r="X274" i="1"/>
  <c r="AB274" i="1" s="1"/>
  <c r="AC274" i="1" s="1"/>
  <c r="AG274" i="1"/>
  <c r="AT274" i="1"/>
  <c r="AU274" i="1"/>
  <c r="AV274" i="1"/>
  <c r="CR274" i="1" s="1"/>
  <c r="BI274" i="1"/>
  <c r="CW274" i="1" s="1"/>
  <c r="BQ274" i="1"/>
  <c r="BY274" i="1"/>
  <c r="CD274" i="1"/>
  <c r="CF274" i="1"/>
  <c r="CK274" i="1"/>
  <c r="CM274" i="1"/>
  <c r="CS274" i="1"/>
  <c r="CU274" i="1"/>
  <c r="S275" i="1"/>
  <c r="V275" i="1"/>
  <c r="W275" i="1" s="1"/>
  <c r="AB275" i="1"/>
  <c r="AC275" i="1" s="1"/>
  <c r="AG275" i="1"/>
  <c r="AT275" i="1"/>
  <c r="AU275" i="1"/>
  <c r="AV275" i="1"/>
  <c r="CR275" i="1" s="1"/>
  <c r="BI275" i="1"/>
  <c r="BQ275" i="1"/>
  <c r="BY275" i="1"/>
  <c r="CD275" i="1"/>
  <c r="CF275" i="1"/>
  <c r="CK275" i="1"/>
  <c r="CM275" i="1"/>
  <c r="CS275" i="1"/>
  <c r="CU275" i="1"/>
  <c r="CX275" i="1"/>
  <c r="S276" i="1"/>
  <c r="V276" i="1"/>
  <c r="W276" i="1" s="1"/>
  <c r="AB276" i="1"/>
  <c r="AC276" i="1" s="1"/>
  <c r="AG276" i="1"/>
  <c r="AT276" i="1"/>
  <c r="AU276" i="1"/>
  <c r="AV276" i="1"/>
  <c r="CR276" i="1" s="1"/>
  <c r="CP276" i="1" s="1"/>
  <c r="BI276" i="1"/>
  <c r="BQ276" i="1"/>
  <c r="BY276" i="1"/>
  <c r="CD276" i="1"/>
  <c r="CF276" i="1"/>
  <c r="CK276" i="1"/>
  <c r="CM276" i="1"/>
  <c r="DD276" i="1" s="1"/>
  <c r="CS276" i="1"/>
  <c r="CT276" i="1" s="1"/>
  <c r="CU276" i="1"/>
  <c r="CW276" i="1"/>
  <c r="S277" i="1"/>
  <c r="V277" i="1"/>
  <c r="W277" i="1" s="1"/>
  <c r="AB277" i="1"/>
  <c r="AC277" i="1" s="1"/>
  <c r="AG277" i="1"/>
  <c r="AT277" i="1"/>
  <c r="AU277" i="1"/>
  <c r="AV277" i="1"/>
  <c r="CR277" i="1" s="1"/>
  <c r="BI277" i="1"/>
  <c r="BQ277" i="1"/>
  <c r="BY277" i="1"/>
  <c r="CD277" i="1"/>
  <c r="CF277" i="1"/>
  <c r="CK277" i="1"/>
  <c r="CM277" i="1"/>
  <c r="DD277" i="1" s="1"/>
  <c r="CS277" i="1"/>
  <c r="CT277" i="1" s="1"/>
  <c r="CU277" i="1"/>
  <c r="CW277" i="1"/>
  <c r="S278" i="1"/>
  <c r="V278" i="1"/>
  <c r="W278" i="1" s="1"/>
  <c r="AB278" i="1"/>
  <c r="AC278" i="1" s="1"/>
  <c r="AG278" i="1"/>
  <c r="AT278" i="1"/>
  <c r="AU278" i="1"/>
  <c r="AV278" i="1"/>
  <c r="CR278" i="1" s="1"/>
  <c r="CN278" i="1" s="1"/>
  <c r="BI278" i="1"/>
  <c r="BQ278" i="1"/>
  <c r="BY278" i="1"/>
  <c r="CV278" i="1" s="1"/>
  <c r="CD278" i="1"/>
  <c r="CF278" i="1"/>
  <c r="CK278" i="1"/>
  <c r="CM278" i="1"/>
  <c r="CW278" i="1" s="1"/>
  <c r="CS278" i="1"/>
  <c r="CU278" i="1"/>
  <c r="S279" i="1"/>
  <c r="V279" i="1"/>
  <c r="W279" i="1" s="1"/>
  <c r="AB279" i="1"/>
  <c r="AC279" i="1" s="1"/>
  <c r="AG279" i="1"/>
  <c r="AT279" i="1"/>
  <c r="AU279" i="1"/>
  <c r="AV279" i="1"/>
  <c r="CR279" i="1" s="1"/>
  <c r="CN279" i="1" s="1"/>
  <c r="BI279" i="1"/>
  <c r="BQ279" i="1"/>
  <c r="BY279" i="1"/>
  <c r="CV279" i="1" s="1"/>
  <c r="CD279" i="1"/>
  <c r="CF279" i="1"/>
  <c r="CK279" i="1"/>
  <c r="CM279" i="1"/>
  <c r="CW279" i="1" s="1"/>
  <c r="CS279" i="1"/>
  <c r="CU279" i="1"/>
  <c r="S281" i="1"/>
  <c r="V281" i="1"/>
  <c r="W281" i="1" s="1"/>
  <c r="AB281" i="1"/>
  <c r="AC281" i="1" s="1"/>
  <c r="AG281" i="1"/>
  <c r="AT281" i="1"/>
  <c r="AU281" i="1"/>
  <c r="AV281" i="1"/>
  <c r="CR281" i="1" s="1"/>
  <c r="BI281" i="1"/>
  <c r="BQ281" i="1"/>
  <c r="BY281" i="1"/>
  <c r="CD281" i="1"/>
  <c r="CF281" i="1"/>
  <c r="CK281" i="1"/>
  <c r="CM281" i="1"/>
  <c r="DD281" i="1" s="1"/>
  <c r="CS281" i="1"/>
  <c r="CU281" i="1"/>
  <c r="CW281" i="1"/>
  <c r="S282" i="1"/>
  <c r="V282" i="1"/>
  <c r="W282" i="1" s="1"/>
  <c r="AB282" i="1"/>
  <c r="AC282" i="1" s="1"/>
  <c r="AG282" i="1"/>
  <c r="AT282" i="1"/>
  <c r="AU282" i="1"/>
  <c r="AV282" i="1"/>
  <c r="CR282" i="1" s="1"/>
  <c r="CP282" i="1" s="1"/>
  <c r="BI282" i="1"/>
  <c r="BQ282" i="1"/>
  <c r="BY282" i="1"/>
  <c r="CD282" i="1"/>
  <c r="CF282" i="1"/>
  <c r="CK282" i="1"/>
  <c r="CM282" i="1"/>
  <c r="CS282" i="1"/>
  <c r="CU282" i="1"/>
  <c r="S283" i="1"/>
  <c r="V283" i="1"/>
  <c r="W283" i="1" s="1"/>
  <c r="AB283" i="1"/>
  <c r="AC283" i="1" s="1"/>
  <c r="AG283" i="1"/>
  <c r="AT283" i="1"/>
  <c r="AU283" i="1"/>
  <c r="AV283" i="1"/>
  <c r="CR283" i="1" s="1"/>
  <c r="BI283" i="1"/>
  <c r="BQ283" i="1"/>
  <c r="BY283" i="1"/>
  <c r="CD283" i="1"/>
  <c r="CF283" i="1"/>
  <c r="CK283" i="1"/>
  <c r="CM283" i="1"/>
  <c r="DD283" i="1" s="1"/>
  <c r="CS283" i="1"/>
  <c r="CU283" i="1"/>
  <c r="CW283" i="1"/>
  <c r="S284" i="1"/>
  <c r="V284" i="1"/>
  <c r="W284" i="1" s="1"/>
  <c r="AB284" i="1"/>
  <c r="AC284" i="1" s="1"/>
  <c r="AG284" i="1"/>
  <c r="AT284" i="1"/>
  <c r="AU284" i="1"/>
  <c r="AV284" i="1"/>
  <c r="CR284" i="1" s="1"/>
  <c r="BI284" i="1"/>
  <c r="BQ284" i="1"/>
  <c r="BY284" i="1"/>
  <c r="CD284" i="1"/>
  <c r="CF284" i="1"/>
  <c r="CK284" i="1"/>
  <c r="CM284" i="1"/>
  <c r="DD284" i="1" s="1"/>
  <c r="CS284" i="1"/>
  <c r="CU284" i="1"/>
  <c r="CW284" i="1"/>
  <c r="S285" i="1"/>
  <c r="V285" i="1"/>
  <c r="W285" i="1" s="1"/>
  <c r="AB285" i="1"/>
  <c r="AC285" i="1" s="1"/>
  <c r="AG285" i="1"/>
  <c r="AT285" i="1"/>
  <c r="AU285" i="1"/>
  <c r="AV285" i="1"/>
  <c r="CR285" i="1" s="1"/>
  <c r="BI285" i="1"/>
  <c r="BQ285" i="1"/>
  <c r="BY285" i="1"/>
  <c r="CV285" i="1" s="1"/>
  <c r="CD285" i="1"/>
  <c r="CF285" i="1"/>
  <c r="CK285" i="1"/>
  <c r="CM285" i="1"/>
  <c r="DD285" i="1" s="1"/>
  <c r="CS285" i="1"/>
  <c r="CT285" i="1" s="1"/>
  <c r="CU285" i="1"/>
  <c r="CW285" i="1"/>
  <c r="S287" i="1"/>
  <c r="V287" i="1"/>
  <c r="W287" i="1" s="1"/>
  <c r="AB287" i="1"/>
  <c r="AC287" i="1" s="1"/>
  <c r="AG287" i="1"/>
  <c r="AT287" i="1"/>
  <c r="AU287" i="1"/>
  <c r="AV287" i="1"/>
  <c r="CR287" i="1" s="1"/>
  <c r="CP287" i="1" s="1"/>
  <c r="BI287" i="1"/>
  <c r="BQ287" i="1"/>
  <c r="CT287" i="1" s="1"/>
  <c r="BY287" i="1"/>
  <c r="CD287" i="1"/>
  <c r="CF287" i="1"/>
  <c r="CK287" i="1"/>
  <c r="CM287" i="1"/>
  <c r="DD287" i="1" s="1"/>
  <c r="CS287" i="1"/>
  <c r="CU287" i="1"/>
  <c r="CW287" i="1"/>
  <c r="S288" i="1"/>
  <c r="V288" i="1"/>
  <c r="W288" i="1" s="1"/>
  <c r="AB288" i="1"/>
  <c r="AC288" i="1" s="1"/>
  <c r="AG288" i="1"/>
  <c r="AT288" i="1"/>
  <c r="AU288" i="1"/>
  <c r="AV288" i="1"/>
  <c r="CR288" i="1" s="1"/>
  <c r="BI288" i="1"/>
  <c r="CV288" i="1" s="1"/>
  <c r="BQ288" i="1"/>
  <c r="BY288" i="1"/>
  <c r="CD288" i="1"/>
  <c r="CF288" i="1"/>
  <c r="CK288" i="1"/>
  <c r="CM288" i="1"/>
  <c r="DD288" i="1" s="1"/>
  <c r="CS288" i="1"/>
  <c r="CU288" i="1"/>
  <c r="CW288" i="1"/>
  <c r="S289" i="1"/>
  <c r="V289" i="1"/>
  <c r="W289" i="1" s="1"/>
  <c r="AB289" i="1"/>
  <c r="AC289" i="1" s="1"/>
  <c r="AG289" i="1"/>
  <c r="AT289" i="1"/>
  <c r="AU289" i="1"/>
  <c r="AV289" i="1"/>
  <c r="CR289" i="1" s="1"/>
  <c r="CN289" i="1" s="1"/>
  <c r="BI289" i="1"/>
  <c r="BQ289" i="1"/>
  <c r="BY289" i="1"/>
  <c r="CD289" i="1"/>
  <c r="CF289" i="1"/>
  <c r="CK289" i="1"/>
  <c r="CM289" i="1"/>
  <c r="DD289" i="1" s="1"/>
  <c r="CS289" i="1"/>
  <c r="CT289" i="1" s="1"/>
  <c r="CU289" i="1"/>
  <c r="CW289" i="1"/>
  <c r="S290" i="1"/>
  <c r="V290" i="1"/>
  <c r="W290" i="1" s="1"/>
  <c r="AB290" i="1"/>
  <c r="AC290" i="1" s="1"/>
  <c r="AG290" i="1"/>
  <c r="AT290" i="1"/>
  <c r="AU290" i="1"/>
  <c r="AV290" i="1"/>
  <c r="CR290" i="1" s="1"/>
  <c r="BI290" i="1"/>
  <c r="BQ290" i="1"/>
  <c r="BY290" i="1"/>
  <c r="CD290" i="1"/>
  <c r="CF290" i="1"/>
  <c r="CK290" i="1"/>
  <c r="CM290" i="1"/>
  <c r="DD290" i="1" s="1"/>
  <c r="CS290" i="1"/>
  <c r="CT290" i="1" s="1"/>
  <c r="CU290" i="1"/>
  <c r="CW290" i="1"/>
  <c r="S293" i="1"/>
  <c r="V293" i="1"/>
  <c r="W293" i="1" s="1"/>
  <c r="AB293" i="1"/>
  <c r="AC293" i="1" s="1"/>
  <c r="AG293" i="1"/>
  <c r="AT293" i="1"/>
  <c r="AU293" i="1"/>
  <c r="AV293" i="1"/>
  <c r="CR293" i="1" s="1"/>
  <c r="BI293" i="1"/>
  <c r="BQ293" i="1"/>
  <c r="BY293" i="1"/>
  <c r="CV293" i="1" s="1"/>
  <c r="CD293" i="1"/>
  <c r="CF293" i="1"/>
  <c r="CK293" i="1"/>
  <c r="CM293" i="1"/>
  <c r="CW293" i="1" s="1"/>
  <c r="CS293" i="1"/>
  <c r="CU293" i="1"/>
  <c r="S294" i="1"/>
  <c r="V294" i="1"/>
  <c r="W294" i="1" s="1"/>
  <c r="AB294" i="1"/>
  <c r="AC294" i="1" s="1"/>
  <c r="AG294" i="1"/>
  <c r="AT294" i="1"/>
  <c r="AU294" i="1"/>
  <c r="AV294" i="1"/>
  <c r="CR294" i="1" s="1"/>
  <c r="CP294" i="1" s="1"/>
  <c r="BI294" i="1"/>
  <c r="BQ294" i="1"/>
  <c r="BY294" i="1"/>
  <c r="CD294" i="1"/>
  <c r="CF294" i="1"/>
  <c r="CK294" i="1"/>
  <c r="CM294" i="1"/>
  <c r="DD294" i="1" s="1"/>
  <c r="CS294" i="1"/>
  <c r="CU294" i="1"/>
  <c r="CW294" i="1"/>
  <c r="S295" i="1"/>
  <c r="V295" i="1"/>
  <c r="W295" i="1" s="1"/>
  <c r="AB295" i="1"/>
  <c r="AC295" i="1" s="1"/>
  <c r="AG295" i="1"/>
  <c r="AT295" i="1"/>
  <c r="AU295" i="1"/>
  <c r="AV295" i="1"/>
  <c r="CR295" i="1" s="1"/>
  <c r="CN295" i="1" s="1"/>
  <c r="BI295" i="1"/>
  <c r="BQ295" i="1"/>
  <c r="BY295" i="1"/>
  <c r="CD295" i="1"/>
  <c r="CF295" i="1"/>
  <c r="CK295" i="1"/>
  <c r="CM295" i="1"/>
  <c r="CS295" i="1"/>
  <c r="CU295" i="1"/>
  <c r="S296" i="1"/>
  <c r="V296" i="1"/>
  <c r="W296" i="1" s="1"/>
  <c r="AB296" i="1"/>
  <c r="AC296" i="1" s="1"/>
  <c r="AG296" i="1"/>
  <c r="AT296" i="1"/>
  <c r="AU296" i="1"/>
  <c r="AV296" i="1"/>
  <c r="CR296" i="1" s="1"/>
  <c r="BI296" i="1"/>
  <c r="BQ296" i="1"/>
  <c r="BY296" i="1"/>
  <c r="CD296" i="1"/>
  <c r="CF296" i="1"/>
  <c r="DC296" i="1" s="1"/>
  <c r="CK296" i="1"/>
  <c r="CM296" i="1"/>
  <c r="CS296" i="1"/>
  <c r="CU296" i="1"/>
  <c r="CX296" i="1"/>
  <c r="S297" i="1"/>
  <c r="V297" i="1"/>
  <c r="W297" i="1" s="1"/>
  <c r="AB297" i="1"/>
  <c r="AC297" i="1" s="1"/>
  <c r="AG297" i="1"/>
  <c r="AT297" i="1"/>
  <c r="AU297" i="1"/>
  <c r="AV297" i="1"/>
  <c r="CR297" i="1" s="1"/>
  <c r="BI297" i="1"/>
  <c r="BQ297" i="1"/>
  <c r="BY297" i="1"/>
  <c r="CD297" i="1"/>
  <c r="CF297" i="1"/>
  <c r="CK297" i="1"/>
  <c r="CM297" i="1"/>
  <c r="DD297" i="1" s="1"/>
  <c r="CS297" i="1"/>
  <c r="CU297" i="1"/>
  <c r="CW297" i="1"/>
  <c r="S300" i="1"/>
  <c r="V300" i="1"/>
  <c r="W300" i="1" s="1"/>
  <c r="AB300" i="1"/>
  <c r="AC300" i="1" s="1"/>
  <c r="AG300" i="1"/>
  <c r="AT300" i="1"/>
  <c r="AU300" i="1"/>
  <c r="AV300" i="1"/>
  <c r="CR300" i="1" s="1"/>
  <c r="BI300" i="1"/>
  <c r="BQ300" i="1"/>
  <c r="BY300" i="1"/>
  <c r="CV300" i="1" s="1"/>
  <c r="CD300" i="1"/>
  <c r="CF300" i="1"/>
  <c r="CK300" i="1"/>
  <c r="CM300" i="1"/>
  <c r="DD300" i="1" s="1"/>
  <c r="CS300" i="1"/>
  <c r="CT300" i="1" s="1"/>
  <c r="CU300" i="1"/>
  <c r="CW300" i="1"/>
  <c r="S301" i="1"/>
  <c r="V301" i="1"/>
  <c r="W301" i="1" s="1"/>
  <c r="X301" i="1"/>
  <c r="AB301" i="1" s="1"/>
  <c r="AC301" i="1" s="1"/>
  <c r="AG301" i="1"/>
  <c r="AT301" i="1"/>
  <c r="AU301" i="1"/>
  <c r="AV301" i="1"/>
  <c r="CR301" i="1" s="1"/>
  <c r="CN301" i="1" s="1"/>
  <c r="BI301" i="1"/>
  <c r="BQ301" i="1"/>
  <c r="CT301" i="1" s="1"/>
  <c r="BY301" i="1"/>
  <c r="CD301" i="1"/>
  <c r="CF301" i="1"/>
  <c r="CK301" i="1"/>
  <c r="CM301" i="1"/>
  <c r="CW301" i="1" s="1"/>
  <c r="CS301" i="1"/>
  <c r="CU301" i="1"/>
  <c r="S302" i="1"/>
  <c r="V302" i="1"/>
  <c r="W302" i="1" s="1"/>
  <c r="AB302" i="1"/>
  <c r="AC302" i="1" s="1"/>
  <c r="AG302" i="1"/>
  <c r="AT302" i="1"/>
  <c r="AU302" i="1"/>
  <c r="AV302" i="1"/>
  <c r="CR302" i="1" s="1"/>
  <c r="CN302" i="1" s="1"/>
  <c r="BI302" i="1"/>
  <c r="BQ302" i="1"/>
  <c r="CT302" i="1" s="1"/>
  <c r="BY302" i="1"/>
  <c r="CD302" i="1"/>
  <c r="CF302" i="1"/>
  <c r="CK302" i="1"/>
  <c r="CM302" i="1"/>
  <c r="CS302" i="1"/>
  <c r="CU302" i="1"/>
  <c r="CW302" i="1"/>
  <c r="S303" i="1"/>
  <c r="V303" i="1"/>
  <c r="W303" i="1" s="1"/>
  <c r="AB303" i="1"/>
  <c r="AC303" i="1" s="1"/>
  <c r="AG303" i="1"/>
  <c r="AT303" i="1"/>
  <c r="AU303" i="1"/>
  <c r="AV303" i="1"/>
  <c r="CR303" i="1" s="1"/>
  <c r="CN303" i="1" s="1"/>
  <c r="BI303" i="1"/>
  <c r="CW303" i="1" s="1"/>
  <c r="BQ303" i="1"/>
  <c r="BY303" i="1"/>
  <c r="CD303" i="1"/>
  <c r="CF303" i="1"/>
  <c r="CK303" i="1"/>
  <c r="CM303" i="1"/>
  <c r="CS303" i="1"/>
  <c r="CU303" i="1"/>
  <c r="S304" i="1"/>
  <c r="V304" i="1"/>
  <c r="W304" i="1" s="1"/>
  <c r="AB304" i="1"/>
  <c r="AC304" i="1" s="1"/>
  <c r="AG304" i="1"/>
  <c r="AT304" i="1"/>
  <c r="AU304" i="1"/>
  <c r="AV304" i="1"/>
  <c r="CR304" i="1" s="1"/>
  <c r="BI304" i="1"/>
  <c r="CW304" i="1" s="1"/>
  <c r="BQ304" i="1"/>
  <c r="BY304" i="1"/>
  <c r="CD304" i="1"/>
  <c r="CF304" i="1"/>
  <c r="CK304" i="1"/>
  <c r="CM304" i="1"/>
  <c r="CS304" i="1"/>
  <c r="CU304" i="1"/>
  <c r="CX304" i="1"/>
  <c r="S306" i="1"/>
  <c r="V306" i="1"/>
  <c r="W306" i="1" s="1"/>
  <c r="AB306" i="1"/>
  <c r="AC306" i="1" s="1"/>
  <c r="AG306" i="1"/>
  <c r="AT306" i="1"/>
  <c r="AU306" i="1"/>
  <c r="AV306" i="1"/>
  <c r="CR306" i="1" s="1"/>
  <c r="BI306" i="1"/>
  <c r="BQ306" i="1"/>
  <c r="BY306" i="1"/>
  <c r="CD306" i="1"/>
  <c r="CF306" i="1"/>
  <c r="CK306" i="1"/>
  <c r="CM306" i="1"/>
  <c r="DD306" i="1" s="1"/>
  <c r="CS306" i="1"/>
  <c r="CT306" i="1" s="1"/>
  <c r="CU306" i="1"/>
  <c r="CW306" i="1"/>
  <c r="S307" i="1"/>
  <c r="V307" i="1"/>
  <c r="W307" i="1" s="1"/>
  <c r="AB307" i="1"/>
  <c r="AC307" i="1" s="1"/>
  <c r="AG307" i="1"/>
  <c r="AT307" i="1"/>
  <c r="AU307" i="1"/>
  <c r="AV307" i="1"/>
  <c r="CR307" i="1" s="1"/>
  <c r="BI307" i="1"/>
  <c r="BQ307" i="1"/>
  <c r="BY307" i="1"/>
  <c r="CD307" i="1"/>
  <c r="CF307" i="1"/>
  <c r="CK307" i="1"/>
  <c r="CM307" i="1"/>
  <c r="DD307" i="1" s="1"/>
  <c r="CS307" i="1"/>
  <c r="CT307" i="1" s="1"/>
  <c r="CU307" i="1"/>
  <c r="CW307" i="1"/>
  <c r="S308" i="1"/>
  <c r="V308" i="1"/>
  <c r="W308" i="1" s="1"/>
  <c r="AB308" i="1"/>
  <c r="AC308" i="1" s="1"/>
  <c r="AG308" i="1"/>
  <c r="AT308" i="1"/>
  <c r="AU308" i="1"/>
  <c r="AV308" i="1"/>
  <c r="CR308" i="1" s="1"/>
  <c r="CN308" i="1" s="1"/>
  <c r="BI308" i="1"/>
  <c r="BQ308" i="1"/>
  <c r="BY308" i="1"/>
  <c r="CD308" i="1"/>
  <c r="CF308" i="1"/>
  <c r="CK308" i="1"/>
  <c r="CM308" i="1"/>
  <c r="CW308" i="1" s="1"/>
  <c r="CS308" i="1"/>
  <c r="CU308" i="1"/>
  <c r="S310" i="1"/>
  <c r="V310" i="1"/>
  <c r="W310" i="1" s="1"/>
  <c r="AB310" i="1"/>
  <c r="AC310" i="1" s="1"/>
  <c r="AG310" i="1"/>
  <c r="AT310" i="1"/>
  <c r="AU310" i="1"/>
  <c r="AV310" i="1"/>
  <c r="CR310" i="1" s="1"/>
  <c r="CN310" i="1" s="1"/>
  <c r="BI310" i="1"/>
  <c r="BQ310" i="1"/>
  <c r="BY310" i="1"/>
  <c r="CD310" i="1"/>
  <c r="CF310" i="1"/>
  <c r="CK310" i="1"/>
  <c r="CM310" i="1"/>
  <c r="CW310" i="1" s="1"/>
  <c r="CS310" i="1"/>
  <c r="CU310" i="1"/>
  <c r="S311" i="1"/>
  <c r="V311" i="1"/>
  <c r="W311" i="1" s="1"/>
  <c r="AB311" i="1"/>
  <c r="AC311" i="1" s="1"/>
  <c r="AG311" i="1"/>
  <c r="AT311" i="1"/>
  <c r="AU311" i="1"/>
  <c r="AV311" i="1"/>
  <c r="BI311" i="1"/>
  <c r="BQ311" i="1"/>
  <c r="BY311" i="1"/>
  <c r="CV311" i="1" s="1"/>
  <c r="CD311" i="1"/>
  <c r="CF311" i="1"/>
  <c r="CK311" i="1"/>
  <c r="CM311" i="1"/>
  <c r="CW311" i="1" s="1"/>
  <c r="CS311" i="1"/>
  <c r="CU311" i="1"/>
  <c r="S312" i="1"/>
  <c r="V312" i="1"/>
  <c r="W312" i="1" s="1"/>
  <c r="AB312" i="1"/>
  <c r="AC312" i="1" s="1"/>
  <c r="AG312" i="1"/>
  <c r="AT312" i="1"/>
  <c r="AU312" i="1"/>
  <c r="AV312" i="1"/>
  <c r="BI312" i="1"/>
  <c r="BQ312" i="1"/>
  <c r="BY312" i="1"/>
  <c r="CV312" i="1" s="1"/>
  <c r="CD312" i="1"/>
  <c r="CF312" i="1"/>
  <c r="CK312" i="1"/>
  <c r="CM312" i="1"/>
  <c r="DD312" i="1" s="1"/>
  <c r="CS312" i="1"/>
  <c r="CU312" i="1"/>
  <c r="CW312" i="1"/>
  <c r="S313" i="1"/>
  <c r="V313" i="1"/>
  <c r="W313" i="1" s="1"/>
  <c r="AB313" i="1"/>
  <c r="AC313" i="1" s="1"/>
  <c r="AG313" i="1"/>
  <c r="AT313" i="1"/>
  <c r="AU313" i="1"/>
  <c r="AV313" i="1"/>
  <c r="CR313" i="1" s="1"/>
  <c r="BI313" i="1"/>
  <c r="BQ313" i="1"/>
  <c r="BY313" i="1"/>
  <c r="CD313" i="1"/>
  <c r="CF313" i="1"/>
  <c r="CK313" i="1"/>
  <c r="CM313" i="1"/>
  <c r="DD313" i="1" s="1"/>
  <c r="CS313" i="1"/>
  <c r="CU313" i="1"/>
  <c r="CW313" i="1"/>
  <c r="S315" i="1"/>
  <c r="V315" i="1"/>
  <c r="W315" i="1" s="1"/>
  <c r="AB315" i="1"/>
  <c r="AC315" i="1" s="1"/>
  <c r="AG315" i="1"/>
  <c r="AT315" i="1"/>
  <c r="AU315" i="1"/>
  <c r="AV315" i="1"/>
  <c r="CR315" i="1" s="1"/>
  <c r="BI315" i="1"/>
  <c r="BQ315" i="1"/>
  <c r="BY315" i="1"/>
  <c r="CD315" i="1"/>
  <c r="CF315" i="1"/>
  <c r="CK315" i="1"/>
  <c r="CM315" i="1"/>
  <c r="DD315" i="1" s="1"/>
  <c r="CS315" i="1"/>
  <c r="CU315" i="1"/>
  <c r="CW315" i="1"/>
  <c r="S305" i="1"/>
  <c r="V305" i="1"/>
  <c r="W305" i="1" s="1"/>
  <c r="AB305" i="1"/>
  <c r="AC305" i="1" s="1"/>
  <c r="AG305" i="1"/>
  <c r="AT305" i="1"/>
  <c r="AU305" i="1"/>
  <c r="AV305" i="1"/>
  <c r="CR305" i="1" s="1"/>
  <c r="BI305" i="1"/>
  <c r="BQ305" i="1"/>
  <c r="BY305" i="1"/>
  <c r="CV305" i="1" s="1"/>
  <c r="CD305" i="1"/>
  <c r="CF305" i="1"/>
  <c r="CK305" i="1"/>
  <c r="CM305" i="1"/>
  <c r="CS305" i="1"/>
  <c r="CT305" i="1" s="1"/>
  <c r="CU305" i="1"/>
  <c r="CX305" i="1"/>
  <c r="DC17" i="1"/>
  <c r="CV156" i="1"/>
  <c r="CW118" i="1"/>
  <c r="CT170" i="1"/>
  <c r="CV211" i="1"/>
  <c r="CW159" i="1"/>
  <c r="CT221" i="1"/>
  <c r="CV314" i="1"/>
  <c r="CX91" i="1"/>
  <c r="CN55" i="1"/>
  <c r="CR221" i="1"/>
  <c r="CN221" i="1" s="1"/>
  <c r="DC164" i="1"/>
  <c r="DA164" i="1"/>
  <c r="CV52" i="1"/>
  <c r="CW280" i="1"/>
  <c r="CY280" i="1" s="1"/>
  <c r="H280" i="1" s="1"/>
  <c r="CN227" i="1"/>
  <c r="CO227" i="1" s="1"/>
  <c r="DB227" i="1" s="1"/>
  <c r="CP227" i="1"/>
  <c r="CX118" i="1"/>
  <c r="CP22" i="1"/>
  <c r="CF32" i="1"/>
  <c r="CD32" i="1"/>
  <c r="BQ38" i="1"/>
  <c r="BQ36" i="1"/>
  <c r="BY29" i="1"/>
  <c r="BY38" i="1"/>
  <c r="V38" i="1"/>
  <c r="W38" i="1" s="1"/>
  <c r="S38" i="1"/>
  <c r="CD36" i="1"/>
  <c r="CF36" i="1"/>
  <c r="BY36" i="1"/>
  <c r="S36" i="1"/>
  <c r="V36" i="1"/>
  <c r="W36" i="1" s="1"/>
  <c r="S32" i="1"/>
  <c r="V32" i="1"/>
  <c r="W32" i="1" s="1"/>
  <c r="CF31" i="1"/>
  <c r="CD31" i="1"/>
  <c r="S31" i="1"/>
  <c r="V31" i="1"/>
  <c r="W31" i="1" s="1"/>
  <c r="CD29" i="1"/>
  <c r="CF29" i="1"/>
  <c r="BQ29" i="1"/>
  <c r="V29" i="1"/>
  <c r="W29" i="1" s="1"/>
  <c r="S29" i="1"/>
  <c r="BY27" i="1"/>
  <c r="CF27" i="1"/>
  <c r="CD27" i="1"/>
  <c r="V27" i="1"/>
  <c r="W27" i="1" s="1"/>
  <c r="S27" i="1"/>
  <c r="CD26" i="1"/>
  <c r="CF26" i="1"/>
  <c r="CD34" i="1"/>
  <c r="CF34" i="1"/>
  <c r="BQ32" i="1"/>
  <c r="BY31" i="1"/>
  <c r="BY32" i="1"/>
  <c r="BQ31" i="1"/>
  <c r="BQ26" i="1"/>
  <c r="CT26" i="1" s="1"/>
  <c r="BQ27" i="1"/>
  <c r="BY26" i="1"/>
  <c r="BQ34" i="1"/>
  <c r="BQ30" i="1"/>
  <c r="BQ20" i="1"/>
  <c r="BY19" i="1"/>
  <c r="CV19" i="1" s="1"/>
  <c r="BY17" i="1"/>
  <c r="S26" i="1"/>
  <c r="V26" i="1"/>
  <c r="W26" i="1" s="1"/>
  <c r="CF25" i="1"/>
  <c r="CD25" i="1"/>
  <c r="V25" i="1"/>
  <c r="W25" i="1" s="1"/>
  <c r="S25" i="1"/>
  <c r="BY34" i="1"/>
  <c r="S34" i="1"/>
  <c r="V34" i="1"/>
  <c r="W34" i="1" s="1"/>
  <c r="BY30" i="1"/>
  <c r="S30" i="1"/>
  <c r="V30" i="1"/>
  <c r="W30" i="1" s="1"/>
  <c r="S24" i="1"/>
  <c r="V24" i="1"/>
  <c r="W24" i="1" s="1"/>
  <c r="CD20" i="1"/>
  <c r="CF20" i="1"/>
  <c r="BY20" i="1"/>
  <c r="V20" i="1"/>
  <c r="W20" i="1" s="1"/>
  <c r="S20" i="1"/>
  <c r="CD19" i="1"/>
  <c r="CF19" i="1"/>
  <c r="S19" i="1"/>
  <c r="V19" i="1"/>
  <c r="W19" i="1" s="1"/>
  <c r="W8" i="1"/>
  <c r="S8" i="1"/>
  <c r="CF18" i="1"/>
  <c r="CD18" i="1"/>
  <c r="V18" i="1"/>
  <c r="W18" i="1" s="1"/>
  <c r="S18" i="1"/>
  <c r="BQ17" i="1"/>
  <c r="V17" i="1"/>
  <c r="W17" i="1" s="1"/>
  <c r="S17" i="1"/>
  <c r="S33" i="1"/>
  <c r="V33" i="1"/>
  <c r="W33" i="1" s="1"/>
  <c r="BQ33" i="1"/>
  <c r="CD33" i="1"/>
  <c r="CF33" i="1"/>
  <c r="S22" i="1"/>
  <c r="V22" i="1"/>
  <c r="W22" i="1" s="1"/>
  <c r="BQ22" i="1"/>
  <c r="CF22" i="1"/>
  <c r="CD22" i="1"/>
  <c r="BQ25" i="1"/>
  <c r="BY24" i="1"/>
  <c r="BQ8" i="1"/>
  <c r="CT8" i="1" s="1"/>
  <c r="BQ18" i="1"/>
  <c r="BY33" i="1"/>
  <c r="BY22" i="1"/>
  <c r="BY25" i="1"/>
  <c r="BQ24" i="1"/>
  <c r="BQ19" i="1"/>
  <c r="BY8" i="1"/>
  <c r="BY18" i="1"/>
  <c r="CW68" i="1"/>
  <c r="CX94" i="1"/>
  <c r="CP151" i="1"/>
  <c r="CW223" i="1"/>
  <c r="CN170" i="1"/>
  <c r="CP170" i="1"/>
  <c r="CN186" i="1"/>
  <c r="CR142" i="1"/>
  <c r="CN142" i="1" s="1"/>
  <c r="CW127" i="1"/>
  <c r="CW219" i="1"/>
  <c r="CT217" i="1"/>
  <c r="CP301" i="1"/>
  <c r="CW316" i="1"/>
  <c r="CW314" i="1"/>
  <c r="CW309" i="1"/>
  <c r="CV147" i="1"/>
  <c r="CT229" i="1"/>
  <c r="CP67" i="1"/>
  <c r="CW124" i="1"/>
  <c r="CW191" i="1"/>
  <c r="CT190" i="1"/>
  <c r="CV188" i="1"/>
  <c r="CV184" i="1"/>
  <c r="CV179" i="1"/>
  <c r="CT145" i="1"/>
  <c r="CV143" i="1"/>
  <c r="CP229" i="1"/>
  <c r="CN15" i="1"/>
  <c r="DA153" i="1"/>
  <c r="CT241" i="1"/>
  <c r="CV274" i="1"/>
  <c r="CT256" i="1"/>
  <c r="CV181" i="1"/>
  <c r="DC208" i="1"/>
  <c r="CT247" i="1"/>
  <c r="CW164" i="1"/>
  <c r="CY164" i="1" s="1"/>
  <c r="CP221" i="1"/>
  <c r="CV196" i="1"/>
  <c r="DA318" i="1"/>
  <c r="CN270" i="1"/>
  <c r="CT205" i="1"/>
  <c r="CV203" i="1"/>
  <c r="CV192" i="1"/>
  <c r="CT114" i="1"/>
  <c r="CQ256" i="1"/>
  <c r="DC256" i="1" s="1"/>
  <c r="CT227" i="1"/>
  <c r="CP278" i="1"/>
  <c r="CT318" i="1"/>
  <c r="DD318" i="1"/>
  <c r="CX317" i="1"/>
  <c r="CY317" i="1"/>
  <c r="H317" i="1" s="1"/>
  <c r="CN214" i="1"/>
  <c r="CP189" i="1"/>
  <c r="CV157" i="1"/>
  <c r="CV144" i="1"/>
  <c r="CN256" i="1"/>
  <c r="CN276" i="1"/>
  <c r="CN318" i="1"/>
  <c r="CO318" i="1" s="1"/>
  <c r="DB318" i="1" s="1"/>
  <c r="CW318" i="1"/>
  <c r="CY318" i="1"/>
  <c r="H318" i="1" s="1"/>
  <c r="CN173" i="1"/>
  <c r="CW166" i="1"/>
  <c r="CW237" i="1"/>
  <c r="CV230" i="1"/>
  <c r="CT218" i="1"/>
  <c r="CT207" i="1"/>
  <c r="CV200" i="1"/>
  <c r="CP279" i="1"/>
  <c r="CN193" i="1"/>
  <c r="CP190" i="1"/>
  <c r="CQ314" i="1"/>
  <c r="DD314" i="1" s="1"/>
  <c r="CW250" i="1"/>
  <c r="CV248" i="1"/>
  <c r="CT193" i="1"/>
  <c r="CV162" i="1"/>
  <c r="CP249" i="1"/>
  <c r="CN249" i="1"/>
  <c r="CW211" i="1"/>
  <c r="CP185" i="1"/>
  <c r="CP218" i="1"/>
  <c r="CQ218" i="1" s="1"/>
  <c r="CP207" i="1"/>
  <c r="CV108" i="1"/>
  <c r="CT281" i="1"/>
  <c r="CT271" i="1"/>
  <c r="CT260" i="1"/>
  <c r="CV259" i="1"/>
  <c r="CV234" i="1"/>
  <c r="CV216" i="1"/>
  <c r="DC166" i="1"/>
  <c r="DA166" i="1"/>
  <c r="DA304" i="1"/>
  <c r="DC304" i="1"/>
  <c r="CN161" i="1"/>
  <c r="CP204" i="1"/>
  <c r="CN204" i="1"/>
  <c r="CN14" i="1"/>
  <c r="CN168" i="1"/>
  <c r="CP168" i="1"/>
  <c r="CW181" i="1"/>
  <c r="CV158" i="1"/>
  <c r="CR145" i="1"/>
  <c r="CN145" i="1" s="1"/>
  <c r="CN140" i="1"/>
  <c r="CV88" i="1"/>
  <c r="DC218" i="1"/>
  <c r="CW296" i="1"/>
  <c r="CW295" i="1"/>
  <c r="CT294" i="1"/>
  <c r="CW282" i="1"/>
  <c r="CT266" i="1"/>
  <c r="CT176" i="1"/>
  <c r="CV175" i="1"/>
  <c r="CW305" i="1"/>
  <c r="CT315" i="1"/>
  <c r="CV146" i="1"/>
  <c r="CT161" i="1"/>
  <c r="CT286" i="1"/>
  <c r="CN260" i="1"/>
  <c r="CP260" i="1"/>
  <c r="DD239" i="1"/>
  <c r="CN238" i="1"/>
  <c r="DC275" i="1"/>
  <c r="DA275" i="1"/>
  <c r="CR311" i="1"/>
  <c r="CN311" i="1" s="1"/>
  <c r="CR312" i="1"/>
  <c r="CN312" i="1" s="1"/>
  <c r="CN266" i="1"/>
  <c r="CN148" i="1"/>
  <c r="CP225" i="1"/>
  <c r="CN225" i="1"/>
  <c r="CT168" i="1"/>
  <c r="CW299" i="1"/>
  <c r="CW224" i="1"/>
  <c r="CV155" i="1"/>
  <c r="CV250" i="1"/>
  <c r="CT297" i="1"/>
  <c r="CW275" i="1"/>
  <c r="CV236" i="1"/>
  <c r="CT204" i="1"/>
  <c r="CP310" i="1"/>
  <c r="CP217" i="1"/>
  <c r="CQ217" i="1" s="1"/>
  <c r="CP291" i="1"/>
  <c r="CR258" i="1"/>
  <c r="CN258" i="1" s="1"/>
  <c r="CN201" i="1"/>
  <c r="CP201" i="1"/>
  <c r="CN137" i="1"/>
  <c r="CP137" i="1"/>
  <c r="CN205" i="1"/>
  <c r="CP308" i="1"/>
  <c r="CW149" i="1"/>
  <c r="CP240" i="1"/>
  <c r="CV307" i="1"/>
  <c r="CV295" i="1"/>
  <c r="CT278" i="1"/>
  <c r="CV277" i="1"/>
  <c r="CT238" i="1"/>
  <c r="CV212" i="1"/>
  <c r="CV290" i="1"/>
  <c r="CV275" i="1"/>
  <c r="CV242" i="1"/>
  <c r="CT173" i="1"/>
  <c r="CV183" i="1"/>
  <c r="CT202" i="1"/>
  <c r="CV199" i="1"/>
  <c r="CV243" i="1"/>
  <c r="CN287" i="1"/>
  <c r="CN216" i="1"/>
  <c r="CN292" i="1"/>
  <c r="CP292" i="1"/>
  <c r="CP315" i="1"/>
  <c r="CN315" i="1"/>
  <c r="CP316" i="1"/>
  <c r="CQ316" i="1" s="1"/>
  <c r="DC316" i="1" s="1"/>
  <c r="CN297" i="1"/>
  <c r="CP297" i="1"/>
  <c r="CP253" i="1"/>
  <c r="CN253" i="1"/>
  <c r="CT312" i="1"/>
  <c r="CT311" i="1"/>
  <c r="CV282" i="1"/>
  <c r="CT264" i="1"/>
  <c r="CT240" i="1"/>
  <c r="CT224" i="1"/>
  <c r="CP202" i="1"/>
  <c r="CT251" i="1"/>
  <c r="CV222" i="1"/>
  <c r="CV197" i="1"/>
  <c r="CV191" i="1"/>
  <c r="CT245" i="1"/>
  <c r="CV219" i="1"/>
  <c r="CV218" i="1"/>
  <c r="CT258" i="1"/>
  <c r="CT220" i="1"/>
  <c r="CT189" i="1"/>
  <c r="CT186" i="1"/>
  <c r="CT165" i="1"/>
  <c r="DD148" i="1"/>
  <c r="CR262" i="1"/>
  <c r="CR146" i="1"/>
  <c r="CN146" i="1" s="1"/>
  <c r="CO146" i="1" s="1"/>
  <c r="CN243" i="1"/>
  <c r="CO243" i="1" s="1"/>
  <c r="CN251" i="1"/>
  <c r="CP251" i="1"/>
  <c r="CN265" i="1"/>
  <c r="CO265" i="1" s="1"/>
  <c r="DD156" i="1"/>
  <c r="CV313" i="1"/>
  <c r="CV284" i="1"/>
  <c r="CT310" i="1"/>
  <c r="CV308" i="1"/>
  <c r="CV304" i="1"/>
  <c r="CV296" i="1"/>
  <c r="CT284" i="1"/>
  <c r="CV269" i="1"/>
  <c r="CT249" i="1"/>
  <c r="CT225" i="1"/>
  <c r="CT201" i="1"/>
  <c r="CV145" i="1"/>
  <c r="CT308" i="1"/>
  <c r="CT157" i="1"/>
  <c r="CV237" i="1"/>
  <c r="CV257" i="1"/>
  <c r="CV172" i="1"/>
  <c r="CV160" i="1"/>
  <c r="CV252" i="1"/>
  <c r="CT148" i="1"/>
  <c r="CV265" i="1"/>
  <c r="CP220" i="1"/>
  <c r="CN220" i="1"/>
  <c r="CP235" i="1"/>
  <c r="CN235" i="1"/>
  <c r="CV174" i="1"/>
  <c r="DC317" i="1"/>
  <c r="DA317" i="1"/>
  <c r="CN294" i="1"/>
  <c r="CP312" i="1"/>
  <c r="CQ312" i="1" s="1"/>
  <c r="CP311" i="1"/>
  <c r="CQ311" i="1" s="1"/>
  <c r="DC311" i="1" s="1"/>
  <c r="CP143" i="1"/>
  <c r="CQ143" i="1" s="1"/>
  <c r="CP258" i="1"/>
  <c r="F317" i="1"/>
  <c r="G317" i="1" s="1"/>
  <c r="CT25" i="1" l="1"/>
  <c r="CT33" i="1"/>
  <c r="CT304" i="1"/>
  <c r="CT288" i="1"/>
  <c r="CT275" i="1"/>
  <c r="CV271" i="1"/>
  <c r="CT122" i="1"/>
  <c r="CT121" i="1"/>
  <c r="CT120" i="1"/>
  <c r="CT119" i="1"/>
  <c r="CV111" i="1"/>
  <c r="CT103" i="1"/>
  <c r="CV92" i="1"/>
  <c r="CV245" i="1"/>
  <c r="CW86" i="1"/>
  <c r="CY86" i="1" s="1"/>
  <c r="H86" i="1" s="1"/>
  <c r="CW85" i="1"/>
  <c r="CW83" i="1"/>
  <c r="CW231" i="1"/>
  <c r="CT230" i="1"/>
  <c r="CV79" i="1"/>
  <c r="CV221" i="1"/>
  <c r="CV63" i="1"/>
  <c r="CW56" i="1"/>
  <c r="CY56" i="1" s="1"/>
  <c r="H56" i="1" s="1"/>
  <c r="CW46" i="1"/>
  <c r="CW45" i="1"/>
  <c r="CW44" i="1"/>
  <c r="CW41" i="1"/>
  <c r="CW39" i="1"/>
  <c r="CV170" i="1"/>
  <c r="CV168" i="1"/>
  <c r="CW25" i="1"/>
  <c r="CT252" i="1"/>
  <c r="CT239" i="1"/>
  <c r="CT226" i="1"/>
  <c r="CW208" i="1"/>
  <c r="CT206" i="1"/>
  <c r="CT194" i="1"/>
  <c r="CT177" i="1"/>
  <c r="CW167" i="1"/>
  <c r="CY167" i="1" s="1"/>
  <c r="H167" i="1" s="1"/>
  <c r="CT166" i="1"/>
  <c r="CT150" i="1"/>
  <c r="CT149" i="1"/>
  <c r="CT314" i="1"/>
  <c r="CT130" i="1"/>
  <c r="CT309" i="1"/>
  <c r="CT127" i="1"/>
  <c r="CT126" i="1"/>
  <c r="CT299" i="1"/>
  <c r="CW121" i="1"/>
  <c r="CW120" i="1"/>
  <c r="CW119" i="1"/>
  <c r="CW291" i="1"/>
  <c r="CV112" i="1"/>
  <c r="CV23" i="1"/>
  <c r="CV280" i="1"/>
  <c r="CW270" i="1"/>
  <c r="CW103" i="1"/>
  <c r="CT268" i="1"/>
  <c r="CT102" i="1"/>
  <c r="CV90" i="1"/>
  <c r="CW82" i="1"/>
  <c r="CV72" i="1"/>
  <c r="CV61" i="1"/>
  <c r="CV60" i="1"/>
  <c r="CV59" i="1"/>
  <c r="CV54" i="1"/>
  <c r="CW29" i="1"/>
  <c r="CW17" i="1"/>
  <c r="DA296" i="1"/>
  <c r="CV303" i="1"/>
  <c r="CN237" i="1"/>
  <c r="CO237" i="1" s="1"/>
  <c r="CX237" i="1" s="1"/>
  <c r="CP255" i="1"/>
  <c r="H164" i="1"/>
  <c r="CP154" i="1"/>
  <c r="CV20" i="1"/>
  <c r="CW123" i="1"/>
  <c r="CO223" i="1"/>
  <c r="CV66" i="1"/>
  <c r="CV48" i="1"/>
  <c r="CV100" i="1"/>
  <c r="CN39" i="1"/>
  <c r="CQ292" i="1"/>
  <c r="CQ137" i="1"/>
  <c r="CW153" i="1"/>
  <c r="CN246" i="1"/>
  <c r="CP215" i="1"/>
  <c r="CP198" i="1"/>
  <c r="CT250" i="1"/>
  <c r="CT236" i="1"/>
  <c r="CT222" i="1"/>
  <c r="CW204" i="1"/>
  <c r="CT203" i="1"/>
  <c r="CW193" i="1"/>
  <c r="CT192" i="1"/>
  <c r="CT191" i="1"/>
  <c r="CV180" i="1"/>
  <c r="CT175" i="1"/>
  <c r="CV171" i="1"/>
  <c r="CW163" i="1"/>
  <c r="CT162" i="1"/>
  <c r="CV154" i="1"/>
  <c r="CV140" i="1"/>
  <c r="CW30" i="1"/>
  <c r="CY30" i="1" s="1"/>
  <c r="H30" i="1" s="1"/>
  <c r="CV5" i="1"/>
  <c r="CP142" i="1"/>
  <c r="CQ142" i="1" s="1"/>
  <c r="DD142" i="1" s="1"/>
  <c r="CX243" i="1"/>
  <c r="CY243" i="1" s="1"/>
  <c r="H243" i="1" s="1"/>
  <c r="CW138" i="1"/>
  <c r="DA157" i="1"/>
  <c r="CP210" i="1"/>
  <c r="CP264" i="1"/>
  <c r="CV32" i="1"/>
  <c r="CT313" i="1"/>
  <c r="CV306" i="1"/>
  <c r="CT296" i="1"/>
  <c r="CT295" i="1"/>
  <c r="CT282" i="1"/>
  <c r="CT269" i="1"/>
  <c r="CV264" i="1"/>
  <c r="CT259" i="1"/>
  <c r="CV118" i="1"/>
  <c r="CT112" i="1"/>
  <c r="CW111" i="1"/>
  <c r="CT23" i="1"/>
  <c r="CT280" i="1"/>
  <c r="CT108" i="1"/>
  <c r="CV104" i="1"/>
  <c r="CT89" i="1"/>
  <c r="CT243" i="1"/>
  <c r="CV86" i="1"/>
  <c r="CV85" i="1"/>
  <c r="CV83" i="1"/>
  <c r="CV231" i="1"/>
  <c r="CT78" i="1"/>
  <c r="CT211" i="1"/>
  <c r="CT72" i="1"/>
  <c r="CT59" i="1"/>
  <c r="CT54" i="1"/>
  <c r="CT52" i="1"/>
  <c r="CV46" i="1"/>
  <c r="CV45" i="1"/>
  <c r="CV42" i="1"/>
  <c r="CV41" i="1"/>
  <c r="CV39" i="1"/>
  <c r="CT181" i="1"/>
  <c r="CW168" i="1"/>
  <c r="CW157" i="1"/>
  <c r="CT156" i="1"/>
  <c r="CP289" i="1"/>
  <c r="CO216" i="1"/>
  <c r="CT293" i="1"/>
  <c r="CT279" i="1"/>
  <c r="CT248" i="1"/>
  <c r="CV240" i="1"/>
  <c r="CT234" i="1"/>
  <c r="CV228" i="1"/>
  <c r="CT216" i="1"/>
  <c r="CT75" i="1"/>
  <c r="CW202" i="1"/>
  <c r="CY202" i="1" s="1"/>
  <c r="H202" i="1" s="1"/>
  <c r="CW201" i="1"/>
  <c r="CT200" i="1"/>
  <c r="CT199" i="1"/>
  <c r="CW189" i="1"/>
  <c r="CV167" i="1"/>
  <c r="CT143" i="1"/>
  <c r="CV137" i="1"/>
  <c r="CV122" i="1"/>
  <c r="CV121" i="1"/>
  <c r="CV120" i="1"/>
  <c r="CV119" i="1"/>
  <c r="CV292" i="1"/>
  <c r="CV291" i="1"/>
  <c r="CV286" i="1"/>
  <c r="CW108" i="1"/>
  <c r="CT107" i="1"/>
  <c r="CV103" i="1"/>
  <c r="CV82" i="1"/>
  <c r="CW72" i="1"/>
  <c r="CT70" i="1"/>
  <c r="CT68" i="1"/>
  <c r="CT67" i="1"/>
  <c r="CT66" i="1"/>
  <c r="CW60" i="1"/>
  <c r="CT58" i="1"/>
  <c r="CT55" i="1"/>
  <c r="CW54" i="1"/>
  <c r="CW52" i="1"/>
  <c r="CT51" i="1"/>
  <c r="CT49" i="1"/>
  <c r="CT48" i="1"/>
  <c r="CT100" i="1"/>
  <c r="CW32" i="1"/>
  <c r="CW20" i="1"/>
  <c r="CT16" i="1"/>
  <c r="CT15" i="1"/>
  <c r="CT14" i="1"/>
  <c r="CP121" i="1"/>
  <c r="CQ121" i="1" s="1"/>
  <c r="DD121" i="1" s="1"/>
  <c r="DA91" i="1"/>
  <c r="CN98" i="1"/>
  <c r="CN106" i="1"/>
  <c r="CO106" i="1" s="1"/>
  <c r="CX106" i="1" s="1"/>
  <c r="CY106" i="1" s="1"/>
  <c r="H106" i="1" s="1"/>
  <c r="DC46" i="1"/>
  <c r="CQ26" i="1"/>
  <c r="DC26" i="1" s="1"/>
  <c r="CP63" i="1"/>
  <c r="CP85" i="1"/>
  <c r="CQ85" i="1" s="1"/>
  <c r="DD85" i="1" s="1"/>
  <c r="CN86" i="1"/>
  <c r="CO86" i="1" s="1"/>
  <c r="CY46" i="1"/>
  <c r="H46" i="1" s="1"/>
  <c r="CO18" i="1"/>
  <c r="CX18" i="1" s="1"/>
  <c r="CY18" i="1" s="1"/>
  <c r="H18" i="1" s="1"/>
  <c r="DA51" i="1"/>
  <c r="CP112" i="1"/>
  <c r="CN73" i="1"/>
  <c r="CO73" i="1" s="1"/>
  <c r="CX73" i="1" s="1"/>
  <c r="DA118" i="1"/>
  <c r="CN124" i="1"/>
  <c r="CO124" i="1" s="1"/>
  <c r="CX124" i="1" s="1"/>
  <c r="CY124" i="1" s="1"/>
  <c r="H124" i="1" s="1"/>
  <c r="CO130" i="1"/>
  <c r="CX130" i="1" s="1"/>
  <c r="CY130" i="1" s="1"/>
  <c r="H130" i="1" s="1"/>
  <c r="CQ73" i="1"/>
  <c r="DD73" i="1" s="1"/>
  <c r="CQ39" i="1"/>
  <c r="DA39" i="1" s="1"/>
  <c r="CY16" i="1"/>
  <c r="H16" i="1" s="1"/>
  <c r="CO5" i="1"/>
  <c r="CX5" i="1" s="1"/>
  <c r="CW71" i="1"/>
  <c r="DB5" i="1"/>
  <c r="CN27" i="1"/>
  <c r="DC87" i="1"/>
  <c r="CO67" i="1"/>
  <c r="CX67" i="1" s="1"/>
  <c r="CY67" i="1" s="1"/>
  <c r="CP70" i="1"/>
  <c r="CQ70" i="1" s="1"/>
  <c r="DA70" i="1" s="1"/>
  <c r="CN26" i="1"/>
  <c r="CN51" i="1"/>
  <c r="CP48" i="1"/>
  <c r="CQ48" i="1" s="1"/>
  <c r="DC48" i="1" s="1"/>
  <c r="CN79" i="1"/>
  <c r="DC56" i="1"/>
  <c r="CN34" i="1"/>
  <c r="CV94" i="1"/>
  <c r="CP18" i="1"/>
  <c r="CQ18" i="1" s="1"/>
  <c r="CZ18" i="1" s="1"/>
  <c r="CN56" i="1"/>
  <c r="DC30" i="1"/>
  <c r="DA13" i="1"/>
  <c r="DC94" i="1"/>
  <c r="CN8" i="1"/>
  <c r="CO8" i="1" s="1"/>
  <c r="CP66" i="1"/>
  <c r="CQ66" i="1" s="1"/>
  <c r="CN49" i="1"/>
  <c r="CO49" i="1" s="1"/>
  <c r="CX49" i="1" s="1"/>
  <c r="CY49" i="1" s="1"/>
  <c r="H49" i="1" s="1"/>
  <c r="CN114" i="1"/>
  <c r="CO114" i="1" s="1"/>
  <c r="CX114" i="1" s="1"/>
  <c r="CY114" i="1" s="1"/>
  <c r="H114" i="1" s="1"/>
  <c r="CT18" i="1"/>
  <c r="CV24" i="1"/>
  <c r="CT22" i="1"/>
  <c r="CV30" i="1"/>
  <c r="CV17" i="1"/>
  <c r="CT34" i="1"/>
  <c r="CT27" i="1"/>
  <c r="CV36" i="1"/>
  <c r="CV29" i="1"/>
  <c r="CT38" i="1"/>
  <c r="CP16" i="1"/>
  <c r="CO55" i="1"/>
  <c r="CX55" i="1" s="1"/>
  <c r="CW117" i="1"/>
  <c r="CO112" i="1"/>
  <c r="CX112" i="1" s="1"/>
  <c r="CQ55" i="1"/>
  <c r="DC55" i="1" s="1"/>
  <c r="CO16" i="1"/>
  <c r="DD65" i="1"/>
  <c r="DC65" i="1"/>
  <c r="CO63" i="1"/>
  <c r="CX63" i="1" s="1"/>
  <c r="CY63" i="1" s="1"/>
  <c r="H63" i="1" s="1"/>
  <c r="CP103" i="1"/>
  <c r="CQ103" i="1" s="1"/>
  <c r="CN47" i="1"/>
  <c r="CO47" i="1" s="1"/>
  <c r="DA107" i="1"/>
  <c r="CP95" i="1"/>
  <c r="CQ95" i="1" s="1"/>
  <c r="DA95" i="1" s="1"/>
  <c r="CN81" i="1"/>
  <c r="CO81" i="1" s="1"/>
  <c r="DB81" i="1" s="1"/>
  <c r="CQ243" i="1"/>
  <c r="CX223" i="1"/>
  <c r="CO218" i="1"/>
  <c r="CO217" i="1"/>
  <c r="CX217" i="1" s="1"/>
  <c r="CY217" i="1" s="1"/>
  <c r="H217" i="1" s="1"/>
  <c r="CY207" i="1"/>
  <c r="H207" i="1" s="1"/>
  <c r="CV96" i="1"/>
  <c r="F28" i="1"/>
  <c r="G28" i="1" s="1"/>
  <c r="CO308" i="1"/>
  <c r="DB308" i="1" s="1"/>
  <c r="CO295" i="1"/>
  <c r="CX295" i="1" s="1"/>
  <c r="CQ294" i="1"/>
  <c r="DA294" i="1" s="1"/>
  <c r="CQ287" i="1"/>
  <c r="DA287" i="1" s="1"/>
  <c r="CQ282" i="1"/>
  <c r="CO278" i="1"/>
  <c r="CY273" i="1"/>
  <c r="H273" i="1" s="1"/>
  <c r="CQ265" i="1"/>
  <c r="DD265" i="1" s="1"/>
  <c r="CO264" i="1"/>
  <c r="CX264" i="1" s="1"/>
  <c r="CY264" i="1" s="1"/>
  <c r="H264" i="1" s="1"/>
  <c r="CY263" i="1"/>
  <c r="H263" i="1" s="1"/>
  <c r="CO250" i="1"/>
  <c r="CO202" i="1"/>
  <c r="CY193" i="1"/>
  <c r="CQ186" i="1"/>
  <c r="CO185" i="1"/>
  <c r="CQ184" i="1"/>
  <c r="DA184" i="1" s="1"/>
  <c r="CQ173" i="1"/>
  <c r="DA173" i="1" s="1"/>
  <c r="CO155" i="1"/>
  <c r="CO154" i="1"/>
  <c r="CO143" i="1"/>
  <c r="CW100" i="1"/>
  <c r="CV109" i="1"/>
  <c r="CQ161" i="1"/>
  <c r="DA161" i="1" s="1"/>
  <c r="CO136" i="1"/>
  <c r="CO316" i="1"/>
  <c r="CO291" i="1"/>
  <c r="CY270" i="1"/>
  <c r="H270" i="1" s="1"/>
  <c r="CQ270" i="1"/>
  <c r="CT95" i="1"/>
  <c r="CP146" i="1"/>
  <c r="CQ146" i="1" s="1"/>
  <c r="DA314" i="1"/>
  <c r="CN52" i="1"/>
  <c r="CO52" i="1" s="1"/>
  <c r="CX52" i="1" s="1"/>
  <c r="CY52" i="1" s="1"/>
  <c r="H52" i="1" s="1"/>
  <c r="CY305" i="1"/>
  <c r="H305" i="1" s="1"/>
  <c r="CX227" i="1"/>
  <c r="CY227" i="1" s="1"/>
  <c r="H227" i="1" s="1"/>
  <c r="CV44" i="1"/>
  <c r="CN50" i="1"/>
  <c r="CO105" i="1"/>
  <c r="DB105" i="1" s="1"/>
  <c r="CO122" i="1"/>
  <c r="DB122" i="1" s="1"/>
  <c r="CO121" i="1"/>
  <c r="CX121" i="1" s="1"/>
  <c r="CY121" i="1" s="1"/>
  <c r="H121" i="1" s="1"/>
  <c r="CT118" i="1"/>
  <c r="CO118" i="1"/>
  <c r="DB118" i="1" s="1"/>
  <c r="CT116" i="1"/>
  <c r="CW116" i="1"/>
  <c r="CO111" i="1"/>
  <c r="CO103" i="1"/>
  <c r="CX103" i="1" s="1"/>
  <c r="CY103" i="1" s="1"/>
  <c r="H103" i="1" s="1"/>
  <c r="CQ98" i="1"/>
  <c r="DC98" i="1" s="1"/>
  <c r="CT90" i="1"/>
  <c r="CQ86" i="1"/>
  <c r="DD86" i="1" s="1"/>
  <c r="CQ82" i="1"/>
  <c r="DD82" i="1" s="1"/>
  <c r="CQ81" i="1"/>
  <c r="DC81" i="1" s="1"/>
  <c r="CW73" i="1"/>
  <c r="CO66" i="1"/>
  <c r="CX66" i="1" s="1"/>
  <c r="CY66" i="1" s="1"/>
  <c r="CQ61" i="1"/>
  <c r="DA61" i="1" s="1"/>
  <c r="CQ60" i="1"/>
  <c r="DC60" i="1" s="1"/>
  <c r="CW55" i="1"/>
  <c r="CV55" i="1"/>
  <c r="CQ52" i="1"/>
  <c r="DD52" i="1" s="1"/>
  <c r="CY51" i="1"/>
  <c r="H51" i="1" s="1"/>
  <c r="CQ51" i="1"/>
  <c r="CO48" i="1"/>
  <c r="CX48" i="1" s="1"/>
  <c r="CY48" i="1" s="1"/>
  <c r="CQ47" i="1"/>
  <c r="DA47" i="1" s="1"/>
  <c r="CO45" i="1"/>
  <c r="CX45" i="1" s="1"/>
  <c r="CY45" i="1" s="1"/>
  <c r="CW42" i="1"/>
  <c r="CV310" i="1"/>
  <c r="CV302" i="1"/>
  <c r="CV294" i="1"/>
  <c r="CV289" i="1"/>
  <c r="CV281" i="1"/>
  <c r="CV276" i="1"/>
  <c r="CV273" i="1"/>
  <c r="CV251" i="1"/>
  <c r="CV249" i="1"/>
  <c r="CV210" i="1"/>
  <c r="CV204" i="1"/>
  <c r="CV201" i="1"/>
  <c r="CV195" i="1"/>
  <c r="CV193" i="1"/>
  <c r="CV178" i="1"/>
  <c r="CO29" i="1"/>
  <c r="CX29" i="1" s="1"/>
  <c r="CV315" i="1"/>
  <c r="CV301" i="1"/>
  <c r="CV287" i="1"/>
  <c r="CT274" i="1"/>
  <c r="CV262" i="1"/>
  <c r="CV260" i="1"/>
  <c r="CV247" i="1"/>
  <c r="CV244" i="1"/>
  <c r="CV220" i="1"/>
  <c r="CV214" i="1"/>
  <c r="CV208" i="1"/>
  <c r="CV50" i="1"/>
  <c r="CV176" i="1"/>
  <c r="CQ258" i="1"/>
  <c r="DC258" i="1" s="1"/>
  <c r="CP145" i="1"/>
  <c r="CQ145" i="1" s="1"/>
  <c r="CZ145" i="1" s="1"/>
  <c r="DE145" i="1" s="1"/>
  <c r="CO235" i="1"/>
  <c r="DB235" i="1" s="1"/>
  <c r="CQ201" i="1"/>
  <c r="DD201" i="1" s="1"/>
  <c r="CO258" i="1"/>
  <c r="CP295" i="1"/>
  <c r="CQ295" i="1" s="1"/>
  <c r="DA295" i="1" s="1"/>
  <c r="CP182" i="1"/>
  <c r="CQ38" i="1"/>
  <c r="DD38" i="1" s="1"/>
  <c r="CQ32" i="1"/>
  <c r="DA32" i="1" s="1"/>
  <c r="CQ114" i="1"/>
  <c r="DC114" i="1" s="1"/>
  <c r="CY157" i="1"/>
  <c r="H157" i="1" s="1"/>
  <c r="CO17" i="1"/>
  <c r="CY153" i="1"/>
  <c r="H153" i="1" s="1"/>
  <c r="CX136" i="1"/>
  <c r="CY136" i="1" s="1"/>
  <c r="H136" i="1" s="1"/>
  <c r="CY223" i="1"/>
  <c r="H223" i="1" s="1"/>
  <c r="CZ218" i="1"/>
  <c r="DE218" i="1" s="1"/>
  <c r="DD51" i="1"/>
  <c r="CQ170" i="1"/>
  <c r="DA170" i="1" s="1"/>
  <c r="CO170" i="1"/>
  <c r="CQ27" i="1"/>
  <c r="DA27" i="1" s="1"/>
  <c r="CQ19" i="1"/>
  <c r="DC19" i="1" s="1"/>
  <c r="CY17" i="1"/>
  <c r="H17" i="1" s="1"/>
  <c r="CQ15" i="1"/>
  <c r="DA15" i="1" s="1"/>
  <c r="CQ11" i="1"/>
  <c r="DA11" i="1" s="1"/>
  <c r="CQ7" i="1"/>
  <c r="DC7" i="1" s="1"/>
  <c r="CQ6" i="1"/>
  <c r="DD6" i="1" s="1"/>
  <c r="CW57" i="1"/>
  <c r="CT94" i="1"/>
  <c r="CW109" i="1"/>
  <c r="CT117" i="1"/>
  <c r="DB243" i="1"/>
  <c r="DA316" i="1"/>
  <c r="DC201" i="1"/>
  <c r="DA201" i="1"/>
  <c r="DC243" i="1"/>
  <c r="DA243" i="1"/>
  <c r="CP164" i="1"/>
  <c r="CQ164" i="1" s="1"/>
  <c r="DD164" i="1" s="1"/>
  <c r="CN164" i="1"/>
  <c r="CO164" i="1" s="1"/>
  <c r="CV297" i="1"/>
  <c r="CP288" i="1"/>
  <c r="CQ288" i="1" s="1"/>
  <c r="CN288" i="1"/>
  <c r="CO288" i="1" s="1"/>
  <c r="DB288" i="1" s="1"/>
  <c r="CP274" i="1"/>
  <c r="CQ274" i="1" s="1"/>
  <c r="DD274" i="1" s="1"/>
  <c r="CN274" i="1"/>
  <c r="CO274" i="1" s="1"/>
  <c r="CR269" i="1"/>
  <c r="CN269" i="1" s="1"/>
  <c r="CO269" i="1" s="1"/>
  <c r="CX269" i="1" s="1"/>
  <c r="CY269" i="1" s="1"/>
  <c r="H269" i="1" s="1"/>
  <c r="CP257" i="1"/>
  <c r="CQ257" i="1" s="1"/>
  <c r="CN257" i="1"/>
  <c r="CO257" i="1" s="1"/>
  <c r="DA202" i="1"/>
  <c r="DC202" i="1"/>
  <c r="CN194" i="1"/>
  <c r="CP194" i="1"/>
  <c r="CQ194" i="1" s="1"/>
  <c r="DC193" i="1"/>
  <c r="DA193" i="1"/>
  <c r="CN139" i="1"/>
  <c r="CP139" i="1"/>
  <c r="CQ139" i="1" s="1"/>
  <c r="CP138" i="1"/>
  <c r="CQ138" i="1" s="1"/>
  <c r="DA138" i="1" s="1"/>
  <c r="CN138" i="1"/>
  <c r="CO138" i="1" s="1"/>
  <c r="DD136" i="1"/>
  <c r="DB136" i="1"/>
  <c r="CN104" i="1"/>
  <c r="CO104" i="1" s="1"/>
  <c r="CP104" i="1"/>
  <c r="CQ104" i="1" s="1"/>
  <c r="DC104" i="1" s="1"/>
  <c r="DD270" i="1"/>
  <c r="CR102" i="1"/>
  <c r="DA86" i="1"/>
  <c r="DC86" i="1"/>
  <c r="CR224" i="1"/>
  <c r="CQ221" i="1"/>
  <c r="CR78" i="1"/>
  <c r="CN211" i="1"/>
  <c r="CP211" i="1"/>
  <c r="CQ211" i="1" s="1"/>
  <c r="DC211" i="1" s="1"/>
  <c r="CR196" i="1"/>
  <c r="CR54" i="1"/>
  <c r="CR46" i="1"/>
  <c r="CN44" i="1"/>
  <c r="CO44" i="1" s="1"/>
  <c r="CX44" i="1" s="1"/>
  <c r="CY44" i="1" s="1"/>
  <c r="H44" i="1" s="1"/>
  <c r="CP44" i="1"/>
  <c r="CQ44" i="1" s="1"/>
  <c r="DA44" i="1" s="1"/>
  <c r="CN36" i="1"/>
  <c r="CO36" i="1" s="1"/>
  <c r="CP36" i="1"/>
  <c r="CQ36" i="1" s="1"/>
  <c r="DC36" i="1" s="1"/>
  <c r="CR110" i="1"/>
  <c r="CN53" i="1"/>
  <c r="CO53" i="1" s="1"/>
  <c r="CX53" i="1" s="1"/>
  <c r="CY53" i="1" s="1"/>
  <c r="H53" i="1" s="1"/>
  <c r="CP53" i="1"/>
  <c r="CQ53" i="1" s="1"/>
  <c r="DA53" i="1" s="1"/>
  <c r="CN30" i="1"/>
  <c r="CO30" i="1" s="1"/>
  <c r="CP30" i="1"/>
  <c r="CQ30" i="1" s="1"/>
  <c r="DD30" i="1" s="1"/>
  <c r="DC8" i="1"/>
  <c r="DA8" i="1"/>
  <c r="CP147" i="1"/>
  <c r="CQ147" i="1" s="1"/>
  <c r="DD147" i="1" s="1"/>
  <c r="CN147" i="1"/>
  <c r="CO147" i="1" s="1"/>
  <c r="CP12" i="1"/>
  <c r="CQ12" i="1" s="1"/>
  <c r="DD12" i="1" s="1"/>
  <c r="CN12" i="1"/>
  <c r="CO12" i="1" s="1"/>
  <c r="CX12" i="1" s="1"/>
  <c r="CN10" i="1"/>
  <c r="CO10" i="1" s="1"/>
  <c r="CP10" i="1"/>
  <c r="CQ10" i="1" s="1"/>
  <c r="DA10" i="1" s="1"/>
  <c r="CN144" i="1"/>
  <c r="CO144" i="1" s="1"/>
  <c r="CP144" i="1"/>
  <c r="CQ144" i="1" s="1"/>
  <c r="DA144" i="1" s="1"/>
  <c r="CN9" i="1"/>
  <c r="CO9" i="1" s="1"/>
  <c r="CX9" i="1" s="1"/>
  <c r="CP9" i="1"/>
  <c r="CQ9" i="1" s="1"/>
  <c r="DC9" i="1" s="1"/>
  <c r="CV229" i="1"/>
  <c r="CW229" i="1"/>
  <c r="CN57" i="1"/>
  <c r="CO57" i="1" s="1"/>
  <c r="CX57" i="1" s="1"/>
  <c r="CP57" i="1"/>
  <c r="CQ57" i="1" s="1"/>
  <c r="DD57" i="1" s="1"/>
  <c r="CP109" i="1"/>
  <c r="CQ109" i="1" s="1"/>
  <c r="DC109" i="1" s="1"/>
  <c r="CN109" i="1"/>
  <c r="CO109" i="1" s="1"/>
  <c r="CR317" i="1"/>
  <c r="CT317" i="1"/>
  <c r="DF317" i="1" s="1"/>
  <c r="CZ265" i="1"/>
  <c r="DE265" i="1" s="1"/>
  <c r="DD316" i="1"/>
  <c r="CP232" i="1"/>
  <c r="CQ232" i="1" s="1"/>
  <c r="DA232" i="1" s="1"/>
  <c r="DA288" i="1"/>
  <c r="CO294" i="1"/>
  <c r="DB294" i="1" s="1"/>
  <c r="CO145" i="1"/>
  <c r="DB145" i="1" s="1"/>
  <c r="DC314" i="1"/>
  <c r="DA147" i="1"/>
  <c r="CP59" i="1"/>
  <c r="CQ59" i="1" s="1"/>
  <c r="DA59" i="1" s="1"/>
  <c r="CN314" i="1"/>
  <c r="CO314" i="1" s="1"/>
  <c r="CX314" i="1" s="1"/>
  <c r="CY314" i="1" s="1"/>
  <c r="CO220" i="1"/>
  <c r="CX220" i="1" s="1"/>
  <c r="CY220" i="1" s="1"/>
  <c r="H220" i="1" s="1"/>
  <c r="CO303" i="1"/>
  <c r="CN206" i="1"/>
  <c r="CO206" i="1" s="1"/>
  <c r="CX206" i="1" s="1"/>
  <c r="CY206" i="1" s="1"/>
  <c r="H206" i="1" s="1"/>
  <c r="CP5" i="1"/>
  <c r="CQ5" i="1" s="1"/>
  <c r="DA5" i="1" s="1"/>
  <c r="CN32" i="1"/>
  <c r="CO32" i="1" s="1"/>
  <c r="CX32" i="1" s="1"/>
  <c r="CO27" i="1"/>
  <c r="CX27" i="1" s="1"/>
  <c r="CP111" i="1"/>
  <c r="CQ111" i="1" s="1"/>
  <c r="DD111" i="1" s="1"/>
  <c r="CN60" i="1"/>
  <c r="CO60" i="1" s="1"/>
  <c r="CX60" i="1" s="1"/>
  <c r="CY60" i="1" s="1"/>
  <c r="H60" i="1" s="1"/>
  <c r="DC280" i="1"/>
  <c r="CN6" i="1"/>
  <c r="CO6" i="1" s="1"/>
  <c r="CX6" i="1" s="1"/>
  <c r="CY6" i="1" s="1"/>
  <c r="H6" i="1" s="1"/>
  <c r="CN160" i="1"/>
  <c r="CO160" i="1" s="1"/>
  <c r="DB160" i="1" s="1"/>
  <c r="CN11" i="1"/>
  <c r="CO11" i="1" s="1"/>
  <c r="CX11" i="1" s="1"/>
  <c r="CY11" i="1" s="1"/>
  <c r="H11" i="1" s="1"/>
  <c r="CN192" i="1"/>
  <c r="CO192" i="1" s="1"/>
  <c r="CP303" i="1"/>
  <c r="CQ303" i="1" s="1"/>
  <c r="CZ303" i="1" s="1"/>
  <c r="DE303" i="1" s="1"/>
  <c r="CN88" i="1"/>
  <c r="CO88" i="1" s="1"/>
  <c r="CX88" i="1" s="1"/>
  <c r="CP29" i="1"/>
  <c r="CQ29" i="1" s="1"/>
  <c r="DC29" i="1" s="1"/>
  <c r="CN31" i="1"/>
  <c r="CO31" i="1" s="1"/>
  <c r="CX31" i="1" s="1"/>
  <c r="CO312" i="1"/>
  <c r="CX312" i="1" s="1"/>
  <c r="CY312" i="1" s="1"/>
  <c r="H312" i="1" s="1"/>
  <c r="CP107" i="1"/>
  <c r="CQ107" i="1" s="1"/>
  <c r="DD107" i="1" s="1"/>
  <c r="CN7" i="1"/>
  <c r="CO7" i="1" s="1"/>
  <c r="CX7" i="1" s="1"/>
  <c r="CO140" i="1"/>
  <c r="CX140" i="1" s="1"/>
  <c r="CY140" i="1" s="1"/>
  <c r="CO120" i="1"/>
  <c r="CX120" i="1" s="1"/>
  <c r="CY120" i="1" s="1"/>
  <c r="H120" i="1" s="1"/>
  <c r="CQ168" i="1"/>
  <c r="DC168" i="1" s="1"/>
  <c r="CO14" i="1"/>
  <c r="CX14" i="1" s="1"/>
  <c r="CY14" i="1" s="1"/>
  <c r="DC16" i="1"/>
  <c r="CO72" i="1"/>
  <c r="CX72" i="1" s="1"/>
  <c r="CY72" i="1" s="1"/>
  <c r="H72" i="1" s="1"/>
  <c r="CO173" i="1"/>
  <c r="CO98" i="1"/>
  <c r="CX98" i="1" s="1"/>
  <c r="CY98" i="1" s="1"/>
  <c r="H98" i="1" s="1"/>
  <c r="CP72" i="1"/>
  <c r="CQ72" i="1" s="1"/>
  <c r="DC72" i="1" s="1"/>
  <c r="DA273" i="1"/>
  <c r="DC263" i="1"/>
  <c r="CP94" i="1"/>
  <c r="CQ94" i="1" s="1"/>
  <c r="DD94" i="1" s="1"/>
  <c r="CO25" i="1"/>
  <c r="CX25" i="1" s="1"/>
  <c r="CQ79" i="1"/>
  <c r="CP223" i="1"/>
  <c r="CQ223" i="1" s="1"/>
  <c r="DC223" i="1" s="1"/>
  <c r="DA207" i="1"/>
  <c r="CP45" i="1"/>
  <c r="CQ45" i="1" s="1"/>
  <c r="DB45" i="1" s="1"/>
  <c r="CN19" i="1"/>
  <c r="CO19" i="1" s="1"/>
  <c r="CX19" i="1" s="1"/>
  <c r="CO292" i="1"/>
  <c r="CQ106" i="1"/>
  <c r="DA106" i="1" s="1"/>
  <c r="CQ63" i="1"/>
  <c r="DC63" i="1" s="1"/>
  <c r="CQ68" i="1"/>
  <c r="DC68" i="1" s="1"/>
  <c r="CO137" i="1"/>
  <c r="DB137" i="1" s="1"/>
  <c r="CQ291" i="1"/>
  <c r="CO85" i="1"/>
  <c r="CX85" i="1" s="1"/>
  <c r="CY85" i="1" s="1"/>
  <c r="H85" i="1" s="1"/>
  <c r="CY275" i="1"/>
  <c r="H275" i="1" s="1"/>
  <c r="CQ210" i="1"/>
  <c r="DA210" i="1" s="1"/>
  <c r="CO148" i="1"/>
  <c r="CX148" i="1" s="1"/>
  <c r="CY148" i="1" s="1"/>
  <c r="CQ112" i="1"/>
  <c r="DA112" i="1" s="1"/>
  <c r="CQ140" i="1"/>
  <c r="CO168" i="1"/>
  <c r="CX168" i="1" s="1"/>
  <c r="CY168" i="1" s="1"/>
  <c r="H168" i="1" s="1"/>
  <c r="CQ14" i="1"/>
  <c r="DD14" i="1" s="1"/>
  <c r="CQ207" i="1"/>
  <c r="CO39" i="1"/>
  <c r="CO41" i="1"/>
  <c r="CX41" i="1" s="1"/>
  <c r="CY41" i="1" s="1"/>
  <c r="CY250" i="1"/>
  <c r="H250" i="1" s="1"/>
  <c r="CO256" i="1"/>
  <c r="CO70" i="1"/>
  <c r="CX70" i="1" s="1"/>
  <c r="CY70" i="1" s="1"/>
  <c r="CO270" i="1"/>
  <c r="CZ270" i="1" s="1"/>
  <c r="DE270" i="1" s="1"/>
  <c r="CO15" i="1"/>
  <c r="CX15" i="1" s="1"/>
  <c r="CO51" i="1"/>
  <c r="CO142" i="1"/>
  <c r="CX142" i="1" s="1"/>
  <c r="CY142" i="1" s="1"/>
  <c r="H142" i="1" s="1"/>
  <c r="CT24" i="1"/>
  <c r="CV22" i="1"/>
  <c r="CT17" i="1"/>
  <c r="CT20" i="1"/>
  <c r="CT31" i="1"/>
  <c r="CV27" i="1"/>
  <c r="CQ22" i="1"/>
  <c r="DA22" i="1" s="1"/>
  <c r="CQ16" i="1"/>
  <c r="DD16" i="1" s="1"/>
  <c r="CO34" i="1"/>
  <c r="CX34" i="1" s="1"/>
  <c r="CY34" i="1" s="1"/>
  <c r="H34" i="1" s="1"/>
  <c r="CO26" i="1"/>
  <c r="CQ229" i="1"/>
  <c r="DA229" i="1" s="1"/>
  <c r="CY13" i="1"/>
  <c r="H13" i="1" s="1"/>
  <c r="CQ67" i="1"/>
  <c r="DD67" i="1" s="1"/>
  <c r="CQ301" i="1"/>
  <c r="DD301" i="1" s="1"/>
  <c r="CV18" i="1"/>
  <c r="CT19" i="1"/>
  <c r="CV25" i="1"/>
  <c r="CV34" i="1"/>
  <c r="CT30" i="1"/>
  <c r="CV26" i="1"/>
  <c r="CT32" i="1"/>
  <c r="CT29" i="1"/>
  <c r="CT36" i="1"/>
  <c r="CO22" i="1"/>
  <c r="CQ227" i="1"/>
  <c r="DA227" i="1" s="1"/>
  <c r="CQ34" i="1"/>
  <c r="DA34" i="1" s="1"/>
  <c r="CV62" i="1"/>
  <c r="CO62" i="1"/>
  <c r="CX62" i="1" s="1"/>
  <c r="CY62" i="1" s="1"/>
  <c r="CT56" i="1"/>
  <c r="CW38" i="1"/>
  <c r="CP62" i="1"/>
  <c r="CQ62" i="1" s="1"/>
  <c r="DC62" i="1" s="1"/>
  <c r="CQ96" i="1"/>
  <c r="DA96" i="1" s="1"/>
  <c r="CV38" i="1"/>
  <c r="CN38" i="1"/>
  <c r="CO38" i="1" s="1"/>
  <c r="CN68" i="1"/>
  <c r="CO68" i="1" s="1"/>
  <c r="DB68" i="1" s="1"/>
  <c r="CV75" i="1"/>
  <c r="CV129" i="1"/>
  <c r="CV33" i="1"/>
  <c r="CQ33" i="1"/>
  <c r="DD33" i="1" s="1"/>
  <c r="CN33" i="1"/>
  <c r="CO33" i="1" s="1"/>
  <c r="CX33" i="1" s="1"/>
  <c r="CQ49" i="1"/>
  <c r="DA49" i="1" s="1"/>
  <c r="CN286" i="1"/>
  <c r="CO286" i="1" s="1"/>
  <c r="CP286" i="1"/>
  <c r="CQ286" i="1" s="1"/>
  <c r="DC286" i="1" s="1"/>
  <c r="CP25" i="1"/>
  <c r="CQ25" i="1" s="1"/>
  <c r="DA25" i="1" s="1"/>
  <c r="CY118" i="1"/>
  <c r="H118" i="1" s="1"/>
  <c r="CQ308" i="1"/>
  <c r="DA308" i="1" s="1"/>
  <c r="CY296" i="1"/>
  <c r="H296" i="1" s="1"/>
  <c r="CY295" i="1"/>
  <c r="H295" i="1" s="1"/>
  <c r="DC294" i="1"/>
  <c r="CQ278" i="1"/>
  <c r="DC278" i="1" s="1"/>
  <c r="CY265" i="1"/>
  <c r="H265" i="1" s="1"/>
  <c r="CQ260" i="1"/>
  <c r="DA260" i="1" s="1"/>
  <c r="CO260" i="1"/>
  <c r="DB260" i="1" s="1"/>
  <c r="CY247" i="1"/>
  <c r="H247" i="1" s="1"/>
  <c r="CQ246" i="1"/>
  <c r="DD246" i="1" s="1"/>
  <c r="CO242" i="1"/>
  <c r="CQ238" i="1"/>
  <c r="DA238" i="1" s="1"/>
  <c r="CX235" i="1"/>
  <c r="CY235" i="1" s="1"/>
  <c r="H235" i="1" s="1"/>
  <c r="CO232" i="1"/>
  <c r="CX232" i="1" s="1"/>
  <c r="CY232" i="1" s="1"/>
  <c r="H232" i="1" s="1"/>
  <c r="CQ226" i="1"/>
  <c r="DA226" i="1" s="1"/>
  <c r="CQ216" i="1"/>
  <c r="DC216" i="1" s="1"/>
  <c r="CO215" i="1"/>
  <c r="CX215" i="1" s="1"/>
  <c r="CY215" i="1" s="1"/>
  <c r="H215" i="1" s="1"/>
  <c r="CQ214" i="1"/>
  <c r="DD214" i="1" s="1"/>
  <c r="CO214" i="1"/>
  <c r="CX214" i="1" s="1"/>
  <c r="CY214" i="1" s="1"/>
  <c r="H214" i="1" s="1"/>
  <c r="DC210" i="1"/>
  <c r="CO210" i="1"/>
  <c r="DB210" i="1" s="1"/>
  <c r="CY208" i="1"/>
  <c r="H208" i="1" s="1"/>
  <c r="CQ206" i="1"/>
  <c r="CQ199" i="1"/>
  <c r="DA199" i="1" s="1"/>
  <c r="CQ198" i="1"/>
  <c r="DA198" i="1" s="1"/>
  <c r="CO198" i="1"/>
  <c r="CQ192" i="1"/>
  <c r="CO190" i="1"/>
  <c r="CX190" i="1" s="1"/>
  <c r="CY190" i="1" s="1"/>
  <c r="H190" i="1" s="1"/>
  <c r="CO189" i="1"/>
  <c r="CQ50" i="1"/>
  <c r="DA50" i="1" s="1"/>
  <c r="DC186" i="1"/>
  <c r="CX185" i="1"/>
  <c r="CY185" i="1" s="1"/>
  <c r="H185" i="1" s="1"/>
  <c r="DC173" i="1"/>
  <c r="CQ160" i="1"/>
  <c r="CZ160" i="1" s="1"/>
  <c r="DE160" i="1" s="1"/>
  <c r="CX155" i="1"/>
  <c r="CY155" i="1" s="1"/>
  <c r="DD278" i="1"/>
  <c r="CX278" i="1"/>
  <c r="CY278" i="1" s="1"/>
  <c r="CZ278" i="1"/>
  <c r="DE278" i="1" s="1"/>
  <c r="DB198" i="1"/>
  <c r="DB154" i="1"/>
  <c r="CX144" i="1"/>
  <c r="CY144" i="1" s="1"/>
  <c r="H144" i="1" s="1"/>
  <c r="CN304" i="1"/>
  <c r="CO304" i="1" s="1"/>
  <c r="CP304" i="1"/>
  <c r="CQ304" i="1" s="1"/>
  <c r="DD304" i="1" s="1"/>
  <c r="CP300" i="1"/>
  <c r="CQ300" i="1" s="1"/>
  <c r="CN300" i="1"/>
  <c r="CO300" i="1" s="1"/>
  <c r="DB300" i="1" s="1"/>
  <c r="CP296" i="1"/>
  <c r="CQ296" i="1" s="1"/>
  <c r="CN296" i="1"/>
  <c r="CO296" i="1" s="1"/>
  <c r="DC287" i="1"/>
  <c r="CN283" i="1"/>
  <c r="CO283" i="1" s="1"/>
  <c r="DB283" i="1" s="1"/>
  <c r="CP283" i="1"/>
  <c r="CP277" i="1"/>
  <c r="CQ277" i="1" s="1"/>
  <c r="CN277" i="1"/>
  <c r="CO277" i="1" s="1"/>
  <c r="DD264" i="1"/>
  <c r="CR261" i="1"/>
  <c r="CN248" i="1"/>
  <c r="CO248" i="1" s="1"/>
  <c r="CP248" i="1"/>
  <c r="CQ248" i="1" s="1"/>
  <c r="DA247" i="1"/>
  <c r="DC247" i="1"/>
  <c r="CR239" i="1"/>
  <c r="CZ214" i="1"/>
  <c r="DE214" i="1" s="1"/>
  <c r="CR75" i="1"/>
  <c r="CR212" i="1"/>
  <c r="CR209" i="1"/>
  <c r="CP203" i="1"/>
  <c r="CQ203" i="1" s="1"/>
  <c r="DA203" i="1" s="1"/>
  <c r="CN203" i="1"/>
  <c r="CO203" i="1" s="1"/>
  <c r="CN197" i="1"/>
  <c r="CO197" i="1" s="1"/>
  <c r="CP197" i="1"/>
  <c r="CQ197" i="1" s="1"/>
  <c r="DC197" i="1" s="1"/>
  <c r="CP191" i="1"/>
  <c r="CQ191" i="1" s="1"/>
  <c r="DD191" i="1" s="1"/>
  <c r="CN191" i="1"/>
  <c r="CO191" i="1" s="1"/>
  <c r="CP188" i="1"/>
  <c r="CQ188" i="1" s="1"/>
  <c r="DC188" i="1" s="1"/>
  <c r="CN188" i="1"/>
  <c r="CO188" i="1" s="1"/>
  <c r="DD186" i="1"/>
  <c r="CN179" i="1"/>
  <c r="CO179" i="1" s="1"/>
  <c r="DB179" i="1" s="1"/>
  <c r="CP179" i="1"/>
  <c r="CQ179" i="1" s="1"/>
  <c r="DC179" i="1" s="1"/>
  <c r="CN175" i="1"/>
  <c r="CO175" i="1" s="1"/>
  <c r="CP175" i="1"/>
  <c r="CQ175" i="1" s="1"/>
  <c r="DA175" i="1" s="1"/>
  <c r="CP172" i="1"/>
  <c r="CQ172" i="1" s="1"/>
  <c r="DC172" i="1" s="1"/>
  <c r="CR169" i="1"/>
  <c r="DC167" i="1"/>
  <c r="DA167" i="1"/>
  <c r="CP162" i="1"/>
  <c r="CQ162" i="1" s="1"/>
  <c r="DA162" i="1" s="1"/>
  <c r="CN162" i="1"/>
  <c r="CO162" i="1" s="1"/>
  <c r="CP158" i="1"/>
  <c r="CQ158" i="1" s="1"/>
  <c r="CP153" i="1"/>
  <c r="CQ153" i="1" s="1"/>
  <c r="DD153" i="1" s="1"/>
  <c r="CN153" i="1"/>
  <c r="CO153" i="1" s="1"/>
  <c r="CN152" i="1"/>
  <c r="CO152" i="1" s="1"/>
  <c r="CX152" i="1" s="1"/>
  <c r="CP152" i="1"/>
  <c r="CQ152" i="1" s="1"/>
  <c r="DA152" i="1" s="1"/>
  <c r="CN150" i="1"/>
  <c r="CO150" i="1" s="1"/>
  <c r="CP150" i="1"/>
  <c r="CQ150" i="1" s="1"/>
  <c r="DA150" i="1" s="1"/>
  <c r="CN149" i="1"/>
  <c r="CP149" i="1"/>
  <c r="CQ149" i="1" s="1"/>
  <c r="DD149" i="1" s="1"/>
  <c r="DC232" i="1"/>
  <c r="DC226" i="1"/>
  <c r="CZ243" i="1"/>
  <c r="DE243" i="1" s="1"/>
  <c r="DC206" i="1"/>
  <c r="CX160" i="1"/>
  <c r="CY160" i="1" s="1"/>
  <c r="H160" i="1" s="1"/>
  <c r="DD295" i="1"/>
  <c r="CP17" i="1"/>
  <c r="CQ17" i="1" s="1"/>
  <c r="DD17" i="1" s="1"/>
  <c r="DC303" i="1"/>
  <c r="CP118" i="1"/>
  <c r="CQ118" i="1" s="1"/>
  <c r="DC288" i="1"/>
  <c r="CO311" i="1"/>
  <c r="DB311" i="1" s="1"/>
  <c r="DB312" i="1"/>
  <c r="CX154" i="1"/>
  <c r="CY154" i="1" s="1"/>
  <c r="DC295" i="1"/>
  <c r="DB215" i="1"/>
  <c r="CN226" i="1"/>
  <c r="CO226" i="1" s="1"/>
  <c r="DB226" i="1" s="1"/>
  <c r="CP242" i="1"/>
  <c r="CQ242" i="1" s="1"/>
  <c r="DC242" i="1" s="1"/>
  <c r="CN184" i="1"/>
  <c r="CO184" i="1" s="1"/>
  <c r="CN199" i="1"/>
  <c r="CO199" i="1" s="1"/>
  <c r="CX199" i="1" s="1"/>
  <c r="CY199" i="1" s="1"/>
  <c r="H199" i="1" s="1"/>
  <c r="CN282" i="1"/>
  <c r="CO282" i="1" s="1"/>
  <c r="CX282" i="1" s="1"/>
  <c r="CY282" i="1" s="1"/>
  <c r="H282" i="1" s="1"/>
  <c r="CQ251" i="1"/>
  <c r="DC251" i="1" s="1"/>
  <c r="CP105" i="1"/>
  <c r="CQ105" i="1" s="1"/>
  <c r="DC105" i="1" s="1"/>
  <c r="CW186" i="1"/>
  <c r="CN158" i="1"/>
  <c r="CO158" i="1" s="1"/>
  <c r="CO253" i="1"/>
  <c r="CQ297" i="1"/>
  <c r="DC297" i="1" s="1"/>
  <c r="CO315" i="1"/>
  <c r="CP269" i="1"/>
  <c r="CQ269" i="1" s="1"/>
  <c r="DA269" i="1" s="1"/>
  <c r="CO238" i="1"/>
  <c r="DB238" i="1" s="1"/>
  <c r="CP250" i="1"/>
  <c r="CQ250" i="1" s="1"/>
  <c r="CQ182" i="1"/>
  <c r="DC182" i="1" s="1"/>
  <c r="CQ204" i="1"/>
  <c r="DA204" i="1" s="1"/>
  <c r="CO194" i="1"/>
  <c r="CQ190" i="1"/>
  <c r="DC190" i="1" s="1"/>
  <c r="CN177" i="1"/>
  <c r="CO177" i="1" s="1"/>
  <c r="DB177" i="1" s="1"/>
  <c r="CP155" i="1"/>
  <c r="CQ155" i="1" s="1"/>
  <c r="DD155" i="1" s="1"/>
  <c r="DC203" i="1"/>
  <c r="CN172" i="1"/>
  <c r="CO172" i="1" s="1"/>
  <c r="CQ264" i="1"/>
  <c r="CY304" i="1"/>
  <c r="H304" i="1" s="1"/>
  <c r="CQ235" i="1"/>
  <c r="DA235" i="1" s="1"/>
  <c r="CQ220" i="1"/>
  <c r="DA220" i="1" s="1"/>
  <c r="CQ289" i="1"/>
  <c r="DC289" i="1" s="1"/>
  <c r="CO251" i="1"/>
  <c r="CQ202" i="1"/>
  <c r="DD202" i="1" s="1"/>
  <c r="CQ253" i="1"/>
  <c r="DA253" i="1" s="1"/>
  <c r="CO297" i="1"/>
  <c r="CQ315" i="1"/>
  <c r="DC315" i="1" s="1"/>
  <c r="CO287" i="1"/>
  <c r="CZ287" i="1" s="1"/>
  <c r="DE287" i="1" s="1"/>
  <c r="CQ240" i="1"/>
  <c r="CO205" i="1"/>
  <c r="DB205" i="1" s="1"/>
  <c r="CO201" i="1"/>
  <c r="DB201" i="1" s="1"/>
  <c r="CQ310" i="1"/>
  <c r="DC310" i="1" s="1"/>
  <c r="CQ225" i="1"/>
  <c r="DC225" i="1" s="1"/>
  <c r="CY237" i="1"/>
  <c r="H237" i="1" s="1"/>
  <c r="CQ249" i="1"/>
  <c r="CQ255" i="1"/>
  <c r="DD255" i="1" s="1"/>
  <c r="CO276" i="1"/>
  <c r="DB276" i="1" s="1"/>
  <c r="CP80" i="1"/>
  <c r="CQ80" i="1" s="1"/>
  <c r="CP174" i="1"/>
  <c r="CQ174" i="1" s="1"/>
  <c r="CN174" i="1"/>
  <c r="CO174" i="1" s="1"/>
  <c r="CO182" i="1"/>
  <c r="CO225" i="1"/>
  <c r="DB225" i="1" s="1"/>
  <c r="CO266" i="1"/>
  <c r="CX266" i="1" s="1"/>
  <c r="CY266" i="1" s="1"/>
  <c r="H266" i="1" s="1"/>
  <c r="CO204" i="1"/>
  <c r="CO161" i="1"/>
  <c r="DB161" i="1" s="1"/>
  <c r="CQ185" i="1"/>
  <c r="DD185" i="1" s="1"/>
  <c r="CO193" i="1"/>
  <c r="CQ279" i="1"/>
  <c r="DD279" i="1" s="1"/>
  <c r="CY166" i="1"/>
  <c r="H166" i="1" s="1"/>
  <c r="CQ215" i="1"/>
  <c r="DA215" i="1" s="1"/>
  <c r="CQ189" i="1"/>
  <c r="DD189" i="1" s="1"/>
  <c r="CO149" i="1"/>
  <c r="CQ154" i="1"/>
  <c r="DC154" i="1" s="1"/>
  <c r="CO151" i="1"/>
  <c r="CX151" i="1" s="1"/>
  <c r="CY151" i="1" s="1"/>
  <c r="H151" i="1" s="1"/>
  <c r="CN61" i="1"/>
  <c r="CO61" i="1" s="1"/>
  <c r="CP120" i="1"/>
  <c r="CQ120" i="1" s="1"/>
  <c r="DD120" i="1" s="1"/>
  <c r="DA7" i="1"/>
  <c r="CN80" i="1"/>
  <c r="CO80" i="1" s="1"/>
  <c r="CP97" i="1"/>
  <c r="CQ97" i="1" s="1"/>
  <c r="DA97" i="1" s="1"/>
  <c r="DA168" i="1"/>
  <c r="DD168" i="1"/>
  <c r="DD223" i="1"/>
  <c r="CZ242" i="1"/>
  <c r="DE242" i="1" s="1"/>
  <c r="CP119" i="1"/>
  <c r="CQ119" i="1" s="1"/>
  <c r="DC119" i="1" s="1"/>
  <c r="CO119" i="1"/>
  <c r="CX119" i="1" s="1"/>
  <c r="CY119" i="1" s="1"/>
  <c r="H119" i="1" s="1"/>
  <c r="CP89" i="1"/>
  <c r="CQ89" i="1" s="1"/>
  <c r="CO89" i="1"/>
  <c r="CX89" i="1" s="1"/>
  <c r="CW115" i="1"/>
  <c r="CP130" i="1"/>
  <c r="CQ130" i="1" s="1"/>
  <c r="DC130" i="1" s="1"/>
  <c r="CW88" i="1"/>
  <c r="CW87" i="1"/>
  <c r="CY87" i="1" s="1"/>
  <c r="H87" i="1" s="1"/>
  <c r="CQ88" i="1"/>
  <c r="CO229" i="1"/>
  <c r="CZ229" i="1" s="1"/>
  <c r="DE229" i="1" s="1"/>
  <c r="CQ193" i="1"/>
  <c r="CZ193" i="1" s="1"/>
  <c r="DE193" i="1" s="1"/>
  <c r="CP41" i="1"/>
  <c r="CQ41" i="1" s="1"/>
  <c r="DD41" i="1" s="1"/>
  <c r="DA279" i="1"/>
  <c r="CN305" i="1"/>
  <c r="CO305" i="1" s="1"/>
  <c r="CP305" i="1"/>
  <c r="CQ305" i="1" s="1"/>
  <c r="DD305" i="1" s="1"/>
  <c r="CN244" i="1"/>
  <c r="CO244" i="1" s="1"/>
  <c r="CX244" i="1" s="1"/>
  <c r="CY244" i="1" s="1"/>
  <c r="H244" i="1" s="1"/>
  <c r="CP244" i="1"/>
  <c r="CQ244" i="1" s="1"/>
  <c r="CN208" i="1"/>
  <c r="CO208" i="1" s="1"/>
  <c r="CP208" i="1"/>
  <c r="CQ208" i="1" s="1"/>
  <c r="DD208" i="1" s="1"/>
  <c r="CP165" i="1"/>
  <c r="CQ165" i="1" s="1"/>
  <c r="DA165" i="1" s="1"/>
  <c r="CN165" i="1"/>
  <c r="CO165" i="1" s="1"/>
  <c r="CN156" i="1"/>
  <c r="CO156" i="1" s="1"/>
  <c r="CP156" i="1"/>
  <c r="CQ156" i="1" s="1"/>
  <c r="DA156" i="1" s="1"/>
  <c r="DC282" i="1"/>
  <c r="DA282" i="1"/>
  <c r="CZ282" i="1"/>
  <c r="DE282" i="1" s="1"/>
  <c r="DD282" i="1"/>
  <c r="CN309" i="1"/>
  <c r="CO309" i="1" s="1"/>
  <c r="CP309" i="1"/>
  <c r="CQ309" i="1" s="1"/>
  <c r="DD309" i="1" s="1"/>
  <c r="CQ205" i="1"/>
  <c r="CV117" i="1"/>
  <c r="CX145" i="1"/>
  <c r="CY145" i="1" s="1"/>
  <c r="H145" i="1" s="1"/>
  <c r="DA251" i="1"/>
  <c r="CO56" i="1"/>
  <c r="CN82" i="1"/>
  <c r="CO82" i="1" s="1"/>
  <c r="CX82" i="1" s="1"/>
  <c r="CY82" i="1" s="1"/>
  <c r="CO50" i="1"/>
  <c r="CX50" i="1" s="1"/>
  <c r="CP122" i="1"/>
  <c r="CQ122" i="1" s="1"/>
  <c r="DC122" i="1" s="1"/>
  <c r="CW22" i="1"/>
  <c r="CZ314" i="1"/>
  <c r="DE314" i="1" s="1"/>
  <c r="DB314" i="1"/>
  <c r="DC257" i="1"/>
  <c r="DA257" i="1"/>
  <c r="CP247" i="1"/>
  <c r="CQ247" i="1" s="1"/>
  <c r="DD247" i="1" s="1"/>
  <c r="CN247" i="1"/>
  <c r="CO247" i="1" s="1"/>
  <c r="CP222" i="1"/>
  <c r="CQ222" i="1" s="1"/>
  <c r="CN222" i="1"/>
  <c r="CO222" i="1" s="1"/>
  <c r="CP180" i="1"/>
  <c r="CQ180" i="1" s="1"/>
  <c r="DC180" i="1" s="1"/>
  <c r="CN180" i="1"/>
  <c r="CO180" i="1" s="1"/>
  <c r="CP178" i="1"/>
  <c r="CN178" i="1"/>
  <c r="CO178" i="1" s="1"/>
  <c r="DB178" i="1" s="1"/>
  <c r="CP245" i="1"/>
  <c r="CQ245" i="1" s="1"/>
  <c r="CN245" i="1"/>
  <c r="CO245" i="1" s="1"/>
  <c r="CP241" i="1"/>
  <c r="CQ241" i="1" s="1"/>
  <c r="DC241" i="1" s="1"/>
  <c r="CN241" i="1"/>
  <c r="CO241" i="1" s="1"/>
  <c r="CN219" i="1"/>
  <c r="CO219" i="1" s="1"/>
  <c r="CP219" i="1"/>
  <c r="CQ219" i="1" s="1"/>
  <c r="DD219" i="1" s="1"/>
  <c r="CZ192" i="1"/>
  <c r="CZ201" i="1"/>
  <c r="DE201" i="1" s="1"/>
  <c r="CN290" i="1"/>
  <c r="CO290" i="1" s="1"/>
  <c r="CX290" i="1" s="1"/>
  <c r="CY290" i="1" s="1"/>
  <c r="CP290" i="1"/>
  <c r="CQ290" i="1" s="1"/>
  <c r="CN254" i="1"/>
  <c r="CO254" i="1" s="1"/>
  <c r="CP254" i="1"/>
  <c r="CQ254" i="1" s="1"/>
  <c r="CN200" i="1"/>
  <c r="CO200" i="1" s="1"/>
  <c r="CX200" i="1" s="1"/>
  <c r="CY200" i="1" s="1"/>
  <c r="CP200" i="1"/>
  <c r="CQ200" i="1" s="1"/>
  <c r="DB168" i="1"/>
  <c r="CQ276" i="1"/>
  <c r="CQ266" i="1"/>
  <c r="CO302" i="1"/>
  <c r="CX302" i="1" s="1"/>
  <c r="CY302" i="1" s="1"/>
  <c r="H302" i="1" s="1"/>
  <c r="CO289" i="1"/>
  <c r="CO240" i="1"/>
  <c r="CP136" i="1"/>
  <c r="CQ136" i="1" s="1"/>
  <c r="CQ237" i="1"/>
  <c r="CO211" i="1"/>
  <c r="CZ211" i="1" s="1"/>
  <c r="DE211" i="1" s="1"/>
  <c r="AX193" i="1"/>
  <c r="H193" i="1" s="1"/>
  <c r="DD244" i="1"/>
  <c r="DC244" i="1"/>
  <c r="DD303" i="1"/>
  <c r="DC142" i="1"/>
  <c r="DB142" i="1"/>
  <c r="DA142" i="1"/>
  <c r="CZ300" i="1"/>
  <c r="DE300" i="1" s="1"/>
  <c r="DB173" i="1"/>
  <c r="CX173" i="1"/>
  <c r="CY173" i="1" s="1"/>
  <c r="H173" i="1" s="1"/>
  <c r="CZ173" i="1"/>
  <c r="DE173" i="1" s="1"/>
  <c r="DC155" i="1"/>
  <c r="CZ155" i="1"/>
  <c r="DE155" i="1" s="1"/>
  <c r="DA301" i="1"/>
  <c r="CX288" i="1"/>
  <c r="CY288" i="1" s="1"/>
  <c r="H288" i="1" s="1"/>
  <c r="DC265" i="1"/>
  <c r="DA265" i="1"/>
  <c r="CN159" i="1"/>
  <c r="CO159" i="1" s="1"/>
  <c r="CP159" i="1"/>
  <c r="CQ159" i="1" s="1"/>
  <c r="CV318" i="1"/>
  <c r="DF318" i="1" s="1"/>
  <c r="CO310" i="1"/>
  <c r="CO301" i="1"/>
  <c r="CO279" i="1"/>
  <c r="CO273" i="1"/>
  <c r="CO255" i="1"/>
  <c r="CQ131" i="1"/>
  <c r="DD131" i="1" s="1"/>
  <c r="CN299" i="1"/>
  <c r="CO299" i="1" s="1"/>
  <c r="CX299" i="1" s="1"/>
  <c r="CY299" i="1" s="1"/>
  <c r="CQ318" i="1"/>
  <c r="CQ56" i="1"/>
  <c r="CW50" i="1"/>
  <c r="CO107" i="1"/>
  <c r="CN131" i="1"/>
  <c r="CO131" i="1" s="1"/>
  <c r="CX131" i="1" s="1"/>
  <c r="CY131" i="1" s="1"/>
  <c r="H131" i="1" s="1"/>
  <c r="DA104" i="1"/>
  <c r="CN115" i="1"/>
  <c r="CO115" i="1" s="1"/>
  <c r="CP115" i="1"/>
  <c r="CQ115" i="1" s="1"/>
  <c r="DC115" i="1" s="1"/>
  <c r="DA55" i="1"/>
  <c r="CZ98" i="1"/>
  <c r="DE98" i="1" s="1"/>
  <c r="CP123" i="1"/>
  <c r="CQ123" i="1" s="1"/>
  <c r="DA123" i="1" s="1"/>
  <c r="CO97" i="1"/>
  <c r="CN96" i="1"/>
  <c r="CO96" i="1" s="1"/>
  <c r="DB96" i="1" s="1"/>
  <c r="CP64" i="1"/>
  <c r="CQ64" i="1" s="1"/>
  <c r="DA64" i="1" s="1"/>
  <c r="CN64" i="1"/>
  <c r="CO64" i="1" s="1"/>
  <c r="CN42" i="1"/>
  <c r="CO42" i="1" s="1"/>
  <c r="CP42" i="1"/>
  <c r="CQ42" i="1" s="1"/>
  <c r="DC42" i="1" s="1"/>
  <c r="CW91" i="1"/>
  <c r="CY91" i="1" s="1"/>
  <c r="H91" i="1" s="1"/>
  <c r="CQ8" i="1"/>
  <c r="DD8" i="1" s="1"/>
  <c r="CV91" i="1"/>
  <c r="CN91" i="1"/>
  <c r="CO91" i="1" s="1"/>
  <c r="CP91" i="1"/>
  <c r="CQ91" i="1" s="1"/>
  <c r="DD91" i="1" s="1"/>
  <c r="CO94" i="1"/>
  <c r="DA65" i="1"/>
  <c r="CZ65" i="1"/>
  <c r="DE65" i="1" s="1"/>
  <c r="DB65" i="1"/>
  <c r="CX65" i="1"/>
  <c r="CY65" i="1" s="1"/>
  <c r="DC146" i="1"/>
  <c r="DA146" i="1"/>
  <c r="DB220" i="1"/>
  <c r="DD199" i="1"/>
  <c r="CX316" i="1"/>
  <c r="CY316" i="1" s="1"/>
  <c r="H316" i="1" s="1"/>
  <c r="DB316" i="1"/>
  <c r="CZ316" i="1"/>
  <c r="DE316" i="1" s="1"/>
  <c r="DB287" i="1"/>
  <c r="DA137" i="1"/>
  <c r="DC137" i="1"/>
  <c r="CX258" i="1"/>
  <c r="CY258" i="1" s="1"/>
  <c r="H258" i="1" s="1"/>
  <c r="DB258" i="1"/>
  <c r="CZ232" i="1"/>
  <c r="DE232" i="1" s="1"/>
  <c r="DB232" i="1"/>
  <c r="DA312" i="1"/>
  <c r="CZ312" i="1"/>
  <c r="DC312" i="1"/>
  <c r="DC145" i="1"/>
  <c r="CZ226" i="1"/>
  <c r="DE226" i="1" s="1"/>
  <c r="DB216" i="1"/>
  <c r="CX216" i="1"/>
  <c r="CY216" i="1" s="1"/>
  <c r="DF243" i="1"/>
  <c r="F243" i="1" s="1"/>
  <c r="G243" i="1" s="1"/>
  <c r="DA258" i="1"/>
  <c r="DB277" i="1"/>
  <c r="CX277" i="1"/>
  <c r="CY277" i="1" s="1"/>
  <c r="CP281" i="1"/>
  <c r="CQ281" i="1" s="1"/>
  <c r="CN281" i="1"/>
  <c r="CO281" i="1" s="1"/>
  <c r="CX281" i="1" s="1"/>
  <c r="CY281" i="1" s="1"/>
  <c r="H281" i="1" s="1"/>
  <c r="CP259" i="1"/>
  <c r="CQ259" i="1" s="1"/>
  <c r="CN259" i="1"/>
  <c r="CO259" i="1" s="1"/>
  <c r="CP228" i="1"/>
  <c r="CQ228" i="1" s="1"/>
  <c r="CN228" i="1"/>
  <c r="CO228" i="1" s="1"/>
  <c r="CZ143" i="1"/>
  <c r="DE143" i="1" s="1"/>
  <c r="DA211" i="1"/>
  <c r="DD211" i="1"/>
  <c r="CP307" i="1"/>
  <c r="CQ307" i="1" s="1"/>
  <c r="DA307" i="1" s="1"/>
  <c r="CN307" i="1"/>
  <c r="CO307" i="1" s="1"/>
  <c r="DB307" i="1" s="1"/>
  <c r="CN306" i="1"/>
  <c r="CO306" i="1" s="1"/>
  <c r="CP306" i="1"/>
  <c r="CQ306" i="1" s="1"/>
  <c r="CP285" i="1"/>
  <c r="CQ285" i="1" s="1"/>
  <c r="CN285" i="1"/>
  <c r="CO285" i="1" s="1"/>
  <c r="CP284" i="1"/>
  <c r="CQ284" i="1" s="1"/>
  <c r="CN284" i="1"/>
  <c r="CO284" i="1" s="1"/>
  <c r="CP275" i="1"/>
  <c r="CQ275" i="1" s="1"/>
  <c r="DD275" i="1" s="1"/>
  <c r="CN275" i="1"/>
  <c r="CO275" i="1" s="1"/>
  <c r="CN234" i="1"/>
  <c r="CO234" i="1" s="1"/>
  <c r="CP234" i="1"/>
  <c r="CQ234" i="1" s="1"/>
  <c r="DC234" i="1" s="1"/>
  <c r="CP233" i="1"/>
  <c r="CQ233" i="1" s="1"/>
  <c r="CN233" i="1"/>
  <c r="CO233" i="1" s="1"/>
  <c r="CO246" i="1"/>
  <c r="CX246" i="1" s="1"/>
  <c r="CT235" i="1"/>
  <c r="CZ318" i="1"/>
  <c r="DE318" i="1" s="1"/>
  <c r="CT303" i="1"/>
  <c r="CT283" i="1"/>
  <c r="CO249" i="1"/>
  <c r="CV182" i="1"/>
  <c r="CT180" i="1"/>
  <c r="CT131" i="1"/>
  <c r="CQ299" i="1"/>
  <c r="DC299" i="1" s="1"/>
  <c r="CT106" i="1"/>
  <c r="CW89" i="1"/>
  <c r="CO221" i="1"/>
  <c r="CZ221" i="1" s="1"/>
  <c r="DE221" i="1" s="1"/>
  <c r="DA186" i="1"/>
  <c r="CO186" i="1"/>
  <c r="CT178" i="1"/>
  <c r="CW158" i="1"/>
  <c r="CQ148" i="1"/>
  <c r="CZ148" i="1" s="1"/>
  <c r="CO139" i="1"/>
  <c r="CO123" i="1"/>
  <c r="CX123" i="1" s="1"/>
  <c r="CY123" i="1" s="1"/>
  <c r="H123" i="1" s="1"/>
  <c r="CO95" i="1"/>
  <c r="CX95" i="1" s="1"/>
  <c r="CT82" i="1"/>
  <c r="CO59" i="1"/>
  <c r="CW33" i="1"/>
  <c r="CW5" i="1"/>
  <c r="CV8" i="1"/>
  <c r="CW8" i="1"/>
  <c r="CY8" i="1" s="1"/>
  <c r="CW15" i="1"/>
  <c r="CQ13" i="1"/>
  <c r="DD13" i="1" s="1"/>
  <c r="CN13" i="1"/>
  <c r="CO13" i="1" s="1"/>
  <c r="CR166" i="1"/>
  <c r="CN280" i="1"/>
  <c r="CO280" i="1" s="1"/>
  <c r="CP280" i="1"/>
  <c r="CQ280" i="1" s="1"/>
  <c r="DD280" i="1" s="1"/>
  <c r="CP92" i="1"/>
  <c r="CQ92" i="1" s="1"/>
  <c r="DA92" i="1" s="1"/>
  <c r="CN92" i="1"/>
  <c r="CO92" i="1" s="1"/>
  <c r="CN230" i="1"/>
  <c r="CO230" i="1" s="1"/>
  <c r="CP230" i="1"/>
  <c r="CQ230" i="1" s="1"/>
  <c r="DA230" i="1" s="1"/>
  <c r="CW59" i="1"/>
  <c r="H70" i="1"/>
  <c r="DC143" i="1"/>
  <c r="DA143" i="1"/>
  <c r="CN171" i="1"/>
  <c r="CO171" i="1" s="1"/>
  <c r="CP171" i="1"/>
  <c r="CQ171" i="1" s="1"/>
  <c r="DC171" i="1" s="1"/>
  <c r="CN126" i="1"/>
  <c r="CO126" i="1" s="1"/>
  <c r="CX126" i="1" s="1"/>
  <c r="CP126" i="1"/>
  <c r="CQ126" i="1" s="1"/>
  <c r="DD126" i="1" s="1"/>
  <c r="CV298" i="1"/>
  <c r="CW298" i="1"/>
  <c r="CX291" i="1"/>
  <c r="CY291" i="1" s="1"/>
  <c r="DC291" i="1"/>
  <c r="DA291" i="1"/>
  <c r="CP268" i="1"/>
  <c r="CQ268" i="1" s="1"/>
  <c r="DC268" i="1" s="1"/>
  <c r="CN268" i="1"/>
  <c r="CO268" i="1" s="1"/>
  <c r="DA268" i="1"/>
  <c r="CN58" i="1"/>
  <c r="CO58" i="1" s="1"/>
  <c r="CP58" i="1"/>
  <c r="CQ58" i="1" s="1"/>
  <c r="DC58" i="1" s="1"/>
  <c r="CP128" i="1"/>
  <c r="CQ128" i="1" s="1"/>
  <c r="DD128" i="1" s="1"/>
  <c r="CN128" i="1"/>
  <c r="CO128" i="1" s="1"/>
  <c r="CX143" i="1"/>
  <c r="CY143" i="1" s="1"/>
  <c r="DB143" i="1"/>
  <c r="CV102" i="1"/>
  <c r="CW102" i="1"/>
  <c r="DB170" i="1"/>
  <c r="DB217" i="1"/>
  <c r="DA217" i="1"/>
  <c r="DC217" i="1"/>
  <c r="DD217" i="1"/>
  <c r="CZ217" i="1"/>
  <c r="CN176" i="1"/>
  <c r="CO176" i="1" s="1"/>
  <c r="DB176" i="1" s="1"/>
  <c r="CP176" i="1"/>
  <c r="CQ176" i="1" s="1"/>
  <c r="DA176" i="1" s="1"/>
  <c r="CW112" i="1"/>
  <c r="DA270" i="1"/>
  <c r="DC270" i="1"/>
  <c r="W237" i="1"/>
  <c r="CP76" i="1"/>
  <c r="CQ76" i="1" s="1"/>
  <c r="DA76" i="1" s="1"/>
  <c r="CN76" i="1"/>
  <c r="CO76" i="1" s="1"/>
  <c r="H148" i="1"/>
  <c r="CP262" i="1"/>
  <c r="CQ262" i="1" s="1"/>
  <c r="DD262" i="1" s="1"/>
  <c r="CN262" i="1"/>
  <c r="CO262" i="1" s="1"/>
  <c r="DE192" i="1"/>
  <c r="H155" i="1"/>
  <c r="CR127" i="1"/>
  <c r="CN116" i="1"/>
  <c r="CO116" i="1" s="1"/>
  <c r="CX116" i="1" s="1"/>
  <c r="CP116" i="1"/>
  <c r="CQ116" i="1" s="1"/>
  <c r="DD116" i="1" s="1"/>
  <c r="CR267" i="1"/>
  <c r="CW95" i="1"/>
  <c r="DD61" i="1"/>
  <c r="CX170" i="1"/>
  <c r="CY170" i="1" s="1"/>
  <c r="CN101" i="1"/>
  <c r="CO101" i="1" s="1"/>
  <c r="CP101" i="1"/>
  <c r="CQ101" i="1" s="1"/>
  <c r="DD101" i="1" s="1"/>
  <c r="CZ164" i="1"/>
  <c r="DB146" i="1"/>
  <c r="CX146" i="1"/>
  <c r="CY146" i="1" s="1"/>
  <c r="CZ146" i="1"/>
  <c r="DE146" i="1" s="1"/>
  <c r="DD176" i="1"/>
  <c r="CW267" i="1"/>
  <c r="CP87" i="1"/>
  <c r="CQ87" i="1" s="1"/>
  <c r="DD87" i="1" s="1"/>
  <c r="CN87" i="1"/>
  <c r="CO87" i="1" s="1"/>
  <c r="DD79" i="1"/>
  <c r="CV78" i="1"/>
  <c r="CT219" i="1"/>
  <c r="CV213" i="1"/>
  <c r="CR100" i="1"/>
  <c r="CR181" i="1"/>
  <c r="CW31" i="1"/>
  <c r="CQ31" i="1"/>
  <c r="CP157" i="1"/>
  <c r="CQ157" i="1" s="1"/>
  <c r="DD157" i="1" s="1"/>
  <c r="CN157" i="1"/>
  <c r="CO157" i="1" s="1"/>
  <c r="DA311" i="1"/>
  <c r="DA192" i="1"/>
  <c r="DC255" i="1"/>
  <c r="DA237" i="1"/>
  <c r="DC237" i="1"/>
  <c r="CW221" i="1"/>
  <c r="DD221" i="1"/>
  <c r="CZ294" i="1"/>
  <c r="DE294" i="1" s="1"/>
  <c r="DC192" i="1"/>
  <c r="CV89" i="1"/>
  <c r="CN129" i="1"/>
  <c r="CO129" i="1" s="1"/>
  <c r="CX129" i="1" s="1"/>
  <c r="CY129" i="1" s="1"/>
  <c r="H129" i="1" s="1"/>
  <c r="CP129" i="1"/>
  <c r="CQ129" i="1" s="1"/>
  <c r="DA129" i="1" s="1"/>
  <c r="DD237" i="1"/>
  <c r="DC149" i="1"/>
  <c r="DA286" i="1"/>
  <c r="CZ286" i="1"/>
  <c r="DE286" i="1" s="1"/>
  <c r="CN298" i="1"/>
  <c r="CO298" i="1" s="1"/>
  <c r="CP298" i="1"/>
  <c r="CQ298" i="1" s="1"/>
  <c r="DA180" i="1"/>
  <c r="CN117" i="1"/>
  <c r="CO117" i="1" s="1"/>
  <c r="CP117" i="1"/>
  <c r="CQ117" i="1" s="1"/>
  <c r="DD117" i="1" s="1"/>
  <c r="CV107" i="1"/>
  <c r="CW107" i="1"/>
  <c r="CY107" i="1" s="1"/>
  <c r="H107" i="1" s="1"/>
  <c r="CX294" i="1"/>
  <c r="CY294" i="1" s="1"/>
  <c r="CZ258" i="1"/>
  <c r="DE258" i="1" s="1"/>
  <c r="DA292" i="1"/>
  <c r="DC292" i="1"/>
  <c r="DD292" i="1"/>
  <c r="CR108" i="1"/>
  <c r="DD311" i="1"/>
  <c r="DD218" i="1"/>
  <c r="DB218" i="1"/>
  <c r="DF218" i="1" s="1"/>
  <c r="F218" i="1" s="1"/>
  <c r="G218" i="1" s="1"/>
  <c r="DC235" i="1"/>
  <c r="DC165" i="1"/>
  <c r="DB200" i="1"/>
  <c r="DC248" i="1"/>
  <c r="DA248" i="1"/>
  <c r="DA234" i="1"/>
  <c r="DD39" i="1"/>
  <c r="DA223" i="1"/>
  <c r="DC160" i="1"/>
  <c r="CX189" i="1"/>
  <c r="CY189" i="1" s="1"/>
  <c r="CZ189" i="1"/>
  <c r="DE189" i="1" s="1"/>
  <c r="DC307" i="1"/>
  <c r="CP302" i="1"/>
  <c r="CQ302" i="1" s="1"/>
  <c r="CN183" i="1"/>
  <c r="CO183" i="1" s="1"/>
  <c r="CX183" i="1" s="1"/>
  <c r="CP183" i="1"/>
  <c r="CQ183" i="1" s="1"/>
  <c r="DD183" i="1" s="1"/>
  <c r="DD179" i="1"/>
  <c r="CX179" i="1"/>
  <c r="CY179" i="1" s="1"/>
  <c r="CQ178" i="1"/>
  <c r="DB223" i="1"/>
  <c r="CN293" i="1"/>
  <c r="CO293" i="1" s="1"/>
  <c r="CP293" i="1"/>
  <c r="CQ293" i="1" s="1"/>
  <c r="CV283" i="1"/>
  <c r="CQ283" i="1"/>
  <c r="CX283" i="1"/>
  <c r="CY283" i="1" s="1"/>
  <c r="CR252" i="1"/>
  <c r="DA250" i="1"/>
  <c r="DC250" i="1"/>
  <c r="CW246" i="1"/>
  <c r="CW183" i="1"/>
  <c r="DB249" i="1"/>
  <c r="DB150" i="1"/>
  <c r="CX150" i="1"/>
  <c r="CY150" i="1" s="1"/>
  <c r="CP313" i="1"/>
  <c r="CQ313" i="1" s="1"/>
  <c r="CN313" i="1"/>
  <c r="CO313" i="1" s="1"/>
  <c r="DD302" i="1"/>
  <c r="CP273" i="1"/>
  <c r="CQ273" i="1" s="1"/>
  <c r="DA274" i="1"/>
  <c r="CP195" i="1"/>
  <c r="CQ195" i="1" s="1"/>
  <c r="CN195" i="1"/>
  <c r="CO195" i="1" s="1"/>
  <c r="DA256" i="1"/>
  <c r="CV31" i="1"/>
  <c r="DA190" i="1"/>
  <c r="DA305" i="1"/>
  <c r="DC305" i="1"/>
  <c r="CW152" i="1"/>
  <c r="CY152" i="1" s="1"/>
  <c r="DB144" i="1"/>
  <c r="DD144" i="1"/>
  <c r="DD263" i="1"/>
  <c r="CR263" i="1"/>
  <c r="CN163" i="1"/>
  <c r="CO163" i="1" s="1"/>
  <c r="CP163" i="1"/>
  <c r="CQ163" i="1" s="1"/>
  <c r="DC161" i="1"/>
  <c r="CQ151" i="1"/>
  <c r="CV151" i="1"/>
  <c r="CP141" i="1"/>
  <c r="CQ141" i="1" s="1"/>
  <c r="CN141" i="1"/>
  <c r="CO141" i="1" s="1"/>
  <c r="CR271" i="1"/>
  <c r="CN236" i="1"/>
  <c r="CO236" i="1" s="1"/>
  <c r="CP236" i="1"/>
  <c r="CQ236" i="1" s="1"/>
  <c r="CR167" i="1"/>
  <c r="CR213" i="1"/>
  <c r="CQ177" i="1"/>
  <c r="CR231" i="1"/>
  <c r="CO79" i="1"/>
  <c r="CV56" i="1"/>
  <c r="CW9" i="1"/>
  <c r="CW7" i="1"/>
  <c r="CY7" i="1" s="1"/>
  <c r="H7" i="1" s="1"/>
  <c r="CV114" i="1"/>
  <c r="CW12" i="1"/>
  <c r="CT50" i="1"/>
  <c r="CV131" i="1"/>
  <c r="CW19" i="1"/>
  <c r="CW126" i="1"/>
  <c r="CW27" i="1"/>
  <c r="CP71" i="1"/>
  <c r="CQ71" i="1" s="1"/>
  <c r="DD71" i="1" s="1"/>
  <c r="CN71" i="1"/>
  <c r="CO71" i="1" s="1"/>
  <c r="CO24" i="1"/>
  <c r="CX24" i="1" s="1"/>
  <c r="CY24" i="1" s="1"/>
  <c r="H24" i="1" s="1"/>
  <c r="CP24" i="1"/>
  <c r="CQ24" i="1" s="1"/>
  <c r="DC82" i="1"/>
  <c r="DA19" i="1"/>
  <c r="CP74" i="1"/>
  <c r="CQ74" i="1" s="1"/>
  <c r="CN74" i="1"/>
  <c r="CO74" i="1" s="1"/>
  <c r="DD95" i="1"/>
  <c r="CW94" i="1"/>
  <c r="CY94" i="1" s="1"/>
  <c r="CX111" i="1"/>
  <c r="CY111" i="1" s="1"/>
  <c r="CP23" i="1"/>
  <c r="CQ23" i="1" s="1"/>
  <c r="CN23" i="1"/>
  <c r="CO23" i="1" s="1"/>
  <c r="CP93" i="1"/>
  <c r="CQ93" i="1" s="1"/>
  <c r="CN93" i="1"/>
  <c r="CO93" i="1" s="1"/>
  <c r="CN90" i="1"/>
  <c r="CO90" i="1" s="1"/>
  <c r="CP90" i="1"/>
  <c r="CQ90" i="1" s="1"/>
  <c r="DC90" i="1" s="1"/>
  <c r="CR83" i="1"/>
  <c r="CQ124" i="1"/>
  <c r="DC124" i="1" s="1"/>
  <c r="CP20" i="1"/>
  <c r="CQ20" i="1" s="1"/>
  <c r="DD20" i="1" s="1"/>
  <c r="CN20" i="1"/>
  <c r="CO20" i="1" s="1"/>
  <c r="DC170" i="1" l="1"/>
  <c r="DA145" i="1"/>
  <c r="DB264" i="1"/>
  <c r="CY32" i="1"/>
  <c r="H32" i="1" s="1"/>
  <c r="DC274" i="1"/>
  <c r="DC156" i="1"/>
  <c r="DC301" i="1"/>
  <c r="DA197" i="1"/>
  <c r="DC147" i="1"/>
  <c r="DC175" i="1"/>
  <c r="DC198" i="1"/>
  <c r="CZ237" i="1"/>
  <c r="DE237" i="1" s="1"/>
  <c r="CX308" i="1"/>
  <c r="CY308" i="1" s="1"/>
  <c r="H308" i="1" s="1"/>
  <c r="CY25" i="1"/>
  <c r="H25" i="1" s="1"/>
  <c r="CX178" i="1"/>
  <c r="CY178" i="1" s="1"/>
  <c r="DB237" i="1"/>
  <c r="DA155" i="1"/>
  <c r="DA225" i="1"/>
  <c r="DC308" i="1"/>
  <c r="CZ170" i="1"/>
  <c r="DE170" i="1" s="1"/>
  <c r="DB155" i="1"/>
  <c r="CZ308" i="1"/>
  <c r="DE308" i="1" s="1"/>
  <c r="DC184" i="1"/>
  <c r="DB282" i="1"/>
  <c r="DB295" i="1"/>
  <c r="CX122" i="1"/>
  <c r="CY122" i="1" s="1"/>
  <c r="H122" i="1" s="1"/>
  <c r="CY29" i="1"/>
  <c r="H29" i="1" s="1"/>
  <c r="DD109" i="1"/>
  <c r="DC131" i="1"/>
  <c r="DC12" i="1"/>
  <c r="DA109" i="1"/>
  <c r="DB26" i="1"/>
  <c r="CY73" i="1"/>
  <c r="H73" i="1" s="1"/>
  <c r="DA85" i="1"/>
  <c r="DC85" i="1"/>
  <c r="DC61" i="1"/>
  <c r="CZ122" i="1"/>
  <c r="DE122" i="1" s="1"/>
  <c r="DC95" i="1"/>
  <c r="DB19" i="1"/>
  <c r="DA82" i="1"/>
  <c r="CY9" i="1"/>
  <c r="H9" i="1" s="1"/>
  <c r="DD32" i="1"/>
  <c r="CZ73" i="1"/>
  <c r="DE73" i="1" s="1"/>
  <c r="DD26" i="1"/>
  <c r="DA26" i="1"/>
  <c r="DA98" i="1"/>
  <c r="DD7" i="1"/>
  <c r="DC34" i="1"/>
  <c r="DC47" i="1"/>
  <c r="DB106" i="1"/>
  <c r="DA121" i="1"/>
  <c r="CZ25" i="1"/>
  <c r="CZ121" i="1"/>
  <c r="DE121" i="1" s="1"/>
  <c r="CZ6" i="1"/>
  <c r="DE6" i="1" s="1"/>
  <c r="DC49" i="1"/>
  <c r="DA18" i="1"/>
  <c r="DD60" i="1"/>
  <c r="DC39" i="1"/>
  <c r="CZ5" i="1"/>
  <c r="DE5" i="1" s="1"/>
  <c r="DC97" i="1"/>
  <c r="DB85" i="1"/>
  <c r="DC121" i="1"/>
  <c r="DC10" i="1"/>
  <c r="CZ39" i="1"/>
  <c r="DE39" i="1" s="1"/>
  <c r="DB111" i="1"/>
  <c r="DC101" i="1"/>
  <c r="DB95" i="1"/>
  <c r="DD19" i="1"/>
  <c r="DD29" i="1"/>
  <c r="DB32" i="1"/>
  <c r="DC32" i="1"/>
  <c r="DB73" i="1"/>
  <c r="DB15" i="1"/>
  <c r="CZ68" i="1"/>
  <c r="DE68" i="1" s="1"/>
  <c r="DD98" i="1"/>
  <c r="DD53" i="1"/>
  <c r="DB55" i="1"/>
  <c r="DB120" i="1"/>
  <c r="DC15" i="1"/>
  <c r="CZ51" i="1"/>
  <c r="DE51" i="1" s="1"/>
  <c r="CY57" i="1"/>
  <c r="H57" i="1" s="1"/>
  <c r="DD55" i="1"/>
  <c r="DB17" i="1"/>
  <c r="CY55" i="1"/>
  <c r="DD72" i="1"/>
  <c r="DC18" i="1"/>
  <c r="CZ27" i="1"/>
  <c r="DE27" i="1" s="1"/>
  <c r="CX96" i="1"/>
  <c r="CY96" i="1" s="1"/>
  <c r="H96" i="1" s="1"/>
  <c r="CZ19" i="1"/>
  <c r="DE19" i="1" s="1"/>
  <c r="DC123" i="1"/>
  <c r="DA41" i="1"/>
  <c r="DB41" i="1"/>
  <c r="DC11" i="1"/>
  <c r="DB51" i="1"/>
  <c r="DC14" i="1"/>
  <c r="CZ55" i="1"/>
  <c r="DE55" i="1" s="1"/>
  <c r="DB121" i="1"/>
  <c r="CZ118" i="1"/>
  <c r="DE118" i="1" s="1"/>
  <c r="DF118" i="1" s="1"/>
  <c r="F118" i="1" s="1"/>
  <c r="G118" i="1" s="1"/>
  <c r="DC106" i="1"/>
  <c r="DC66" i="1"/>
  <c r="DD66" i="1"/>
  <c r="DC103" i="1"/>
  <c r="DD103" i="1"/>
  <c r="DA103" i="1"/>
  <c r="DD18" i="1"/>
  <c r="DF18" i="1" s="1"/>
  <c r="F18" i="1" s="1"/>
  <c r="G18" i="1" s="1"/>
  <c r="DB18" i="1"/>
  <c r="CZ111" i="1"/>
  <c r="DE111" i="1" s="1"/>
  <c r="DB130" i="1"/>
  <c r="DA60" i="1"/>
  <c r="DC25" i="1"/>
  <c r="DA130" i="1"/>
  <c r="DA81" i="1"/>
  <c r="DB82" i="1"/>
  <c r="CX39" i="1"/>
  <c r="CY39" i="1" s="1"/>
  <c r="H39" i="1" s="1"/>
  <c r="DB66" i="1"/>
  <c r="DA68" i="1"/>
  <c r="DD59" i="1"/>
  <c r="DD11" i="1"/>
  <c r="CZ59" i="1"/>
  <c r="DE59" i="1" s="1"/>
  <c r="DB88" i="1"/>
  <c r="DA6" i="1"/>
  <c r="DB114" i="1"/>
  <c r="CZ106" i="1"/>
  <c r="DE106" i="1" s="1"/>
  <c r="CZ48" i="1"/>
  <c r="DE48" i="1" s="1"/>
  <c r="DA66" i="1"/>
  <c r="CZ70" i="1"/>
  <c r="DE70" i="1" s="1"/>
  <c r="DB98" i="1"/>
  <c r="DA111" i="1"/>
  <c r="DA62" i="1"/>
  <c r="DC27" i="1"/>
  <c r="DC44" i="1"/>
  <c r="DA48" i="1"/>
  <c r="DA14" i="1"/>
  <c r="DB57" i="1"/>
  <c r="DD48" i="1"/>
  <c r="DB16" i="1"/>
  <c r="DB12" i="1"/>
  <c r="DC59" i="1"/>
  <c r="CZ7" i="1"/>
  <c r="DF7" i="1" s="1"/>
  <c r="F7" i="1" s="1"/>
  <c r="G7" i="1" s="1"/>
  <c r="DA120" i="1"/>
  <c r="CZ81" i="1"/>
  <c r="DE81" i="1" s="1"/>
  <c r="CZ12" i="1"/>
  <c r="DE12" i="1" s="1"/>
  <c r="CZ82" i="1"/>
  <c r="DE82" i="1" s="1"/>
  <c r="CZ34" i="1"/>
  <c r="DE34" i="1" s="1"/>
  <c r="DC96" i="1"/>
  <c r="CX105" i="1"/>
  <c r="CY105" i="1" s="1"/>
  <c r="H105" i="1" s="1"/>
  <c r="DC5" i="1"/>
  <c r="CZ105" i="1"/>
  <c r="DE105" i="1" s="1"/>
  <c r="DB67" i="1"/>
  <c r="CZ66" i="1"/>
  <c r="DE66" i="1" s="1"/>
  <c r="CY116" i="1"/>
  <c r="H116" i="1" s="1"/>
  <c r="DD112" i="1"/>
  <c r="CZ11" i="1"/>
  <c r="DE11" i="1" s="1"/>
  <c r="DB11" i="1"/>
  <c r="DB14" i="1"/>
  <c r="CZ114" i="1"/>
  <c r="DE114" i="1" s="1"/>
  <c r="DA36" i="1"/>
  <c r="DD9" i="1"/>
  <c r="CZ103" i="1"/>
  <c r="DE103" i="1" s="1"/>
  <c r="CZ120" i="1"/>
  <c r="DE120" i="1" s="1"/>
  <c r="DA29" i="1"/>
  <c r="DB7" i="1"/>
  <c r="DA67" i="1"/>
  <c r="CX81" i="1"/>
  <c r="CY81" i="1" s="1"/>
  <c r="H81" i="1" s="1"/>
  <c r="CZ16" i="1"/>
  <c r="DE16" i="1" s="1"/>
  <c r="DD70" i="1"/>
  <c r="DB86" i="1"/>
  <c r="DD27" i="1"/>
  <c r="DB109" i="1"/>
  <c r="CZ86" i="1"/>
  <c r="DE86" i="1" s="1"/>
  <c r="CX36" i="1"/>
  <c r="CY36" i="1" s="1"/>
  <c r="H36" i="1" s="1"/>
  <c r="CZ36" i="1"/>
  <c r="DE36" i="1" s="1"/>
  <c r="DB36" i="1"/>
  <c r="DC120" i="1"/>
  <c r="DB123" i="1"/>
  <c r="DC41" i="1"/>
  <c r="CZ17" i="1"/>
  <c r="DE17" i="1" s="1"/>
  <c r="DB34" i="1"/>
  <c r="CX68" i="1"/>
  <c r="CY68" i="1" s="1"/>
  <c r="H68" i="1" s="1"/>
  <c r="CZ14" i="1"/>
  <c r="DE14" i="1" s="1"/>
  <c r="CZ112" i="1"/>
  <c r="DE112" i="1" s="1"/>
  <c r="DB9" i="1"/>
  <c r="CZ9" i="1"/>
  <c r="DE9" i="1" s="1"/>
  <c r="DB103" i="1"/>
  <c r="CZ53" i="1"/>
  <c r="DE53" i="1" s="1"/>
  <c r="CX26" i="1"/>
  <c r="CY26" i="1" s="1"/>
  <c r="H26" i="1" s="1"/>
  <c r="DC111" i="1"/>
  <c r="CZ63" i="1"/>
  <c r="DE63" i="1" s="1"/>
  <c r="DB72" i="1"/>
  <c r="DA114" i="1"/>
  <c r="DC6" i="1"/>
  <c r="CZ32" i="1"/>
  <c r="DE32" i="1" s="1"/>
  <c r="CZ88" i="1"/>
  <c r="DE88" i="1" s="1"/>
  <c r="DD10" i="1"/>
  <c r="DC38" i="1"/>
  <c r="DA38" i="1"/>
  <c r="DB48" i="1"/>
  <c r="DB6" i="1"/>
  <c r="DB27" i="1"/>
  <c r="DA57" i="1"/>
  <c r="DB265" i="1"/>
  <c r="DB8" i="1"/>
  <c r="DB39" i="1"/>
  <c r="CZ15" i="1"/>
  <c r="DE15" i="1" s="1"/>
  <c r="DD44" i="1"/>
  <c r="CY5" i="1"/>
  <c r="H5" i="1" s="1"/>
  <c r="DB30" i="1"/>
  <c r="CZ30" i="1"/>
  <c r="DE30" i="1" s="1"/>
  <c r="CZ52" i="1"/>
  <c r="DE52" i="1" s="1"/>
  <c r="DB52" i="1"/>
  <c r="DA52" i="1"/>
  <c r="DC52" i="1"/>
  <c r="CX211" i="1"/>
  <c r="CY211" i="1" s="1"/>
  <c r="CX176" i="1"/>
  <c r="CY176" i="1" s="1"/>
  <c r="CZ299" i="1"/>
  <c r="DE299" i="1" s="1"/>
  <c r="DB199" i="1"/>
  <c r="DA241" i="1"/>
  <c r="CZ311" i="1"/>
  <c r="DE311" i="1" s="1"/>
  <c r="CZ235" i="1"/>
  <c r="DE235" i="1" s="1"/>
  <c r="DD97" i="1"/>
  <c r="CZ26" i="1"/>
  <c r="DE26" i="1" s="1"/>
  <c r="CZ251" i="1"/>
  <c r="DE251" i="1" s="1"/>
  <c r="DF265" i="1"/>
  <c r="F265" i="1" s="1"/>
  <c r="G265" i="1" s="1"/>
  <c r="DB44" i="1"/>
  <c r="DC144" i="1"/>
  <c r="CZ144" i="1"/>
  <c r="DE144" i="1" s="1"/>
  <c r="CY12" i="1"/>
  <c r="DF12" i="1" s="1"/>
  <c r="F12" i="1" s="1"/>
  <c r="G12" i="1" s="1"/>
  <c r="DF145" i="1"/>
  <c r="F145" i="1" s="1"/>
  <c r="G145" i="1" s="1"/>
  <c r="CZ8" i="1"/>
  <c r="DE8" i="1" s="1"/>
  <c r="CZ295" i="1"/>
  <c r="DE295" i="1" s="1"/>
  <c r="CZ109" i="1"/>
  <c r="DE109" i="1" s="1"/>
  <c r="DB152" i="1"/>
  <c r="CY27" i="1"/>
  <c r="CZ95" i="1"/>
  <c r="DE95" i="1" s="1"/>
  <c r="DB59" i="1"/>
  <c r="DB244" i="1"/>
  <c r="CZ198" i="1"/>
  <c r="DE198" i="1" s="1"/>
  <c r="CZ199" i="1"/>
  <c r="CZ62" i="1"/>
  <c r="DE62" i="1" s="1"/>
  <c r="CZ22" i="1"/>
  <c r="DE22" i="1" s="1"/>
  <c r="DB148" i="1"/>
  <c r="DF6" i="1"/>
  <c r="F6" i="1" s="1"/>
  <c r="G6" i="1" s="1"/>
  <c r="CZ41" i="1"/>
  <c r="DE41" i="1" s="1"/>
  <c r="CZ140" i="1"/>
  <c r="DE140" i="1" s="1"/>
  <c r="CX47" i="1"/>
  <c r="CY47" i="1" s="1"/>
  <c r="CZ47" i="1"/>
  <c r="DE47" i="1" s="1"/>
  <c r="CZ256" i="1"/>
  <c r="DE256" i="1" s="1"/>
  <c r="CX256" i="1"/>
  <c r="CY256" i="1" s="1"/>
  <c r="H256" i="1" s="1"/>
  <c r="DD207" i="1"/>
  <c r="CZ207" i="1"/>
  <c r="CZ292" i="1"/>
  <c r="DE292" i="1" s="1"/>
  <c r="DB292" i="1"/>
  <c r="DA45" i="1"/>
  <c r="DD45" i="1"/>
  <c r="DB207" i="1"/>
  <c r="DB140" i="1"/>
  <c r="DB47" i="1"/>
  <c r="DD229" i="1"/>
  <c r="CN46" i="1"/>
  <c r="CO46" i="1" s="1"/>
  <c r="CP46" i="1"/>
  <c r="CQ46" i="1" s="1"/>
  <c r="DD46" i="1" s="1"/>
  <c r="CN78" i="1"/>
  <c r="CO78" i="1" s="1"/>
  <c r="CP78" i="1"/>
  <c r="CQ78" i="1" s="1"/>
  <c r="DA78" i="1" s="1"/>
  <c r="CN102" i="1"/>
  <c r="CO102" i="1" s="1"/>
  <c r="CX102" i="1" s="1"/>
  <c r="CY102" i="1" s="1"/>
  <c r="H102" i="1" s="1"/>
  <c r="CP102" i="1"/>
  <c r="CQ102" i="1" s="1"/>
  <c r="DD102" i="1" s="1"/>
  <c r="CX138" i="1"/>
  <c r="CY138" i="1" s="1"/>
  <c r="DB138" i="1"/>
  <c r="CZ138" i="1"/>
  <c r="DE138" i="1" s="1"/>
  <c r="DC139" i="1"/>
  <c r="DA139" i="1"/>
  <c r="CX257" i="1"/>
  <c r="CY257" i="1" s="1"/>
  <c r="H257" i="1" s="1"/>
  <c r="DB257" i="1"/>
  <c r="CX292" i="1"/>
  <c r="CY292" i="1" s="1"/>
  <c r="H292" i="1" s="1"/>
  <c r="DA72" i="1"/>
  <c r="DD25" i="1"/>
  <c r="DB25" i="1"/>
  <c r="DA42" i="1"/>
  <c r="DA12" i="1"/>
  <c r="DA122" i="1"/>
  <c r="DF122" i="1" s="1"/>
  <c r="F122" i="1" s="1"/>
  <c r="G122" i="1" s="1"/>
  <c r="DB29" i="1"/>
  <c r="DC92" i="1"/>
  <c r="CZ223" i="1"/>
  <c r="DF223" i="1" s="1"/>
  <c r="F223" i="1" s="1"/>
  <c r="G223" i="1" s="1"/>
  <c r="CX177" i="1"/>
  <c r="CY177" i="1" s="1"/>
  <c r="DA160" i="1"/>
  <c r="DF160" i="1" s="1"/>
  <c r="F160" i="1" s="1"/>
  <c r="G160" i="1" s="1"/>
  <c r="CZ244" i="1"/>
  <c r="DE244" i="1" s="1"/>
  <c r="DF173" i="1"/>
  <c r="F173" i="1" s="1"/>
  <c r="G173" i="1" s="1"/>
  <c r="CZ180" i="1"/>
  <c r="DE180" i="1" s="1"/>
  <c r="DD180" i="1"/>
  <c r="DA149" i="1"/>
  <c r="DF237" i="1"/>
  <c r="F237" i="1" s="1"/>
  <c r="G237" i="1" s="1"/>
  <c r="CZ67" i="1"/>
  <c r="DE67" i="1" s="1"/>
  <c r="DB164" i="1"/>
  <c r="CX229" i="1"/>
  <c r="CY229" i="1" s="1"/>
  <c r="H229" i="1" s="1"/>
  <c r="DB112" i="1"/>
  <c r="CX307" i="1"/>
  <c r="CY307" i="1" s="1"/>
  <c r="H307" i="1" s="1"/>
  <c r="DC162" i="1"/>
  <c r="CY15" i="1"/>
  <c r="DC88" i="1"/>
  <c r="CZ216" i="1"/>
  <c r="DE216" i="1" s="1"/>
  <c r="CX226" i="1"/>
  <c r="CY226" i="1" s="1"/>
  <c r="CZ137" i="1"/>
  <c r="DE137" i="1" s="1"/>
  <c r="CY88" i="1"/>
  <c r="H88" i="1" s="1"/>
  <c r="DC199" i="1"/>
  <c r="CZ220" i="1"/>
  <c r="DE220" i="1" s="1"/>
  <c r="CZ85" i="1"/>
  <c r="DE85" i="1" s="1"/>
  <c r="DC112" i="1"/>
  <c r="DC57" i="1"/>
  <c r="DD36" i="1"/>
  <c r="DB53" i="1"/>
  <c r="DA9" i="1"/>
  <c r="CX109" i="1"/>
  <c r="CY109" i="1" s="1"/>
  <c r="H109" i="1" s="1"/>
  <c r="CX22" i="1"/>
  <c r="CY22" i="1" s="1"/>
  <c r="H22" i="1" s="1"/>
  <c r="DB70" i="1"/>
  <c r="DC70" i="1"/>
  <c r="DC53" i="1"/>
  <c r="CZ288" i="1"/>
  <c r="DE288" i="1" s="1"/>
  <c r="CX300" i="1"/>
  <c r="CY300" i="1" s="1"/>
  <c r="CZ142" i="1"/>
  <c r="DE142" i="1" s="1"/>
  <c r="DA303" i="1"/>
  <c r="DA244" i="1"/>
  <c r="CZ238" i="1"/>
  <c r="DE238" i="1" s="1"/>
  <c r="CZ257" i="1"/>
  <c r="CX311" i="1"/>
  <c r="CY311" i="1" s="1"/>
  <c r="H311" i="1" s="1"/>
  <c r="DB22" i="1"/>
  <c r="CZ45" i="1"/>
  <c r="DE45" i="1" s="1"/>
  <c r="CZ225" i="1"/>
  <c r="DE225" i="1" s="1"/>
  <c r="DC45" i="1"/>
  <c r="DA63" i="1"/>
  <c r="DB63" i="1"/>
  <c r="CZ44" i="1"/>
  <c r="DE44" i="1" s="1"/>
  <c r="CZ72" i="1"/>
  <c r="DE72" i="1" s="1"/>
  <c r="CZ29" i="1"/>
  <c r="DE29" i="1" s="1"/>
  <c r="CZ168" i="1"/>
  <c r="DE168" i="1" s="1"/>
  <c r="DC67" i="1"/>
  <c r="CZ57" i="1"/>
  <c r="DE57" i="1" s="1"/>
  <c r="DC150" i="1"/>
  <c r="DB269" i="1"/>
  <c r="DC246" i="1"/>
  <c r="DB190" i="1"/>
  <c r="DC229" i="1"/>
  <c r="DA216" i="1"/>
  <c r="DB206" i="1"/>
  <c r="CX198" i="1"/>
  <c r="CY198" i="1" s="1"/>
  <c r="H198" i="1" s="1"/>
  <c r="DC238" i="1"/>
  <c r="DB278" i="1"/>
  <c r="DA278" i="1"/>
  <c r="DD308" i="1"/>
  <c r="DF308" i="1" s="1"/>
  <c r="F308" i="1" s="1"/>
  <c r="G308" i="1" s="1"/>
  <c r="DB214" i="1"/>
  <c r="DD63" i="1"/>
  <c r="DC22" i="1"/>
  <c r="DD22" i="1"/>
  <c r="DA140" i="1"/>
  <c r="DD140" i="1"/>
  <c r="DC140" i="1"/>
  <c r="DD291" i="1"/>
  <c r="CZ291" i="1"/>
  <c r="DE291" i="1" s="1"/>
  <c r="DC79" i="1"/>
  <c r="DA79" i="1"/>
  <c r="CX192" i="1"/>
  <c r="CY192" i="1" s="1"/>
  <c r="H192" i="1" s="1"/>
  <c r="DB192" i="1"/>
  <c r="DB303" i="1"/>
  <c r="CX303" i="1"/>
  <c r="CY303" i="1" s="1"/>
  <c r="H303" i="1" s="1"/>
  <c r="DB270" i="1"/>
  <c r="DF270" i="1" s="1"/>
  <c r="F270" i="1" s="1"/>
  <c r="G270" i="1" s="1"/>
  <c r="CZ227" i="1"/>
  <c r="DB256" i="1"/>
  <c r="DB291" i="1"/>
  <c r="CN317" i="1"/>
  <c r="CO317" i="1" s="1"/>
  <c r="CP317" i="1"/>
  <c r="CQ317" i="1" s="1"/>
  <c r="CX147" i="1"/>
  <c r="CY147" i="1" s="1"/>
  <c r="DB147" i="1"/>
  <c r="CZ147" i="1"/>
  <c r="DE147" i="1" s="1"/>
  <c r="CN110" i="1"/>
  <c r="CO110" i="1" s="1"/>
  <c r="CP110" i="1"/>
  <c r="CQ110" i="1" s="1"/>
  <c r="CN54" i="1"/>
  <c r="CO54" i="1" s="1"/>
  <c r="CP54" i="1"/>
  <c r="CQ54" i="1" s="1"/>
  <c r="CN196" i="1"/>
  <c r="CO196" i="1" s="1"/>
  <c r="CP196" i="1"/>
  <c r="CQ196" i="1" s="1"/>
  <c r="DA221" i="1"/>
  <c r="DC221" i="1"/>
  <c r="CP224" i="1"/>
  <c r="CQ224" i="1" s="1"/>
  <c r="DD224" i="1" s="1"/>
  <c r="CN224" i="1"/>
  <c r="CO224" i="1" s="1"/>
  <c r="DD138" i="1"/>
  <c r="DC138" i="1"/>
  <c r="DC227" i="1"/>
  <c r="CX137" i="1"/>
  <c r="CY137" i="1" s="1"/>
  <c r="H137" i="1" s="1"/>
  <c r="DB62" i="1"/>
  <c r="DD62" i="1"/>
  <c r="DB38" i="1"/>
  <c r="CX38" i="1"/>
  <c r="CY38" i="1" s="1"/>
  <c r="H38" i="1" s="1"/>
  <c r="CZ38" i="1"/>
  <c r="DC219" i="1"/>
  <c r="DA219" i="1"/>
  <c r="CZ241" i="1"/>
  <c r="DE241" i="1" s="1"/>
  <c r="CZ50" i="1"/>
  <c r="DE50" i="1" s="1"/>
  <c r="DC50" i="1"/>
  <c r="DB50" i="1"/>
  <c r="DD50" i="1"/>
  <c r="DC129" i="1"/>
  <c r="DD129" i="1"/>
  <c r="DC33" i="1"/>
  <c r="DA33" i="1"/>
  <c r="CZ33" i="1"/>
  <c r="DE33" i="1" s="1"/>
  <c r="CY33" i="1"/>
  <c r="DB33" i="1"/>
  <c r="DB131" i="1"/>
  <c r="DD49" i="1"/>
  <c r="DB49" i="1"/>
  <c r="CZ49" i="1"/>
  <c r="DE49" i="1" s="1"/>
  <c r="CZ152" i="1"/>
  <c r="DE152" i="1" s="1"/>
  <c r="DC260" i="1"/>
  <c r="DB286" i="1"/>
  <c r="CX286" i="1"/>
  <c r="CY286" i="1" s="1"/>
  <c r="H286" i="1" s="1"/>
  <c r="DA131" i="1"/>
  <c r="CY50" i="1"/>
  <c r="H50" i="1" s="1"/>
  <c r="DF316" i="1"/>
  <c r="F316" i="1" s="1"/>
  <c r="G316" i="1" s="1"/>
  <c r="DA154" i="1"/>
  <c r="CX276" i="1"/>
  <c r="CY276" i="1" s="1"/>
  <c r="H276" i="1" s="1"/>
  <c r="CZ190" i="1"/>
  <c r="DE190" i="1" s="1"/>
  <c r="DF198" i="1"/>
  <c r="F198" i="1" s="1"/>
  <c r="G198" i="1" s="1"/>
  <c r="CX225" i="1"/>
  <c r="CY225" i="1" s="1"/>
  <c r="H225" i="1" s="1"/>
  <c r="CZ206" i="1"/>
  <c r="DA206" i="1"/>
  <c r="CZ210" i="1"/>
  <c r="DE210" i="1" s="1"/>
  <c r="CX210" i="1"/>
  <c r="CY210" i="1" s="1"/>
  <c r="CZ97" i="1"/>
  <c r="DE97" i="1" s="1"/>
  <c r="DB255" i="1"/>
  <c r="DA105" i="1"/>
  <c r="DC253" i="1"/>
  <c r="DA179" i="1"/>
  <c r="CZ154" i="1"/>
  <c r="DE154" i="1" s="1"/>
  <c r="DA297" i="1"/>
  <c r="DC214" i="1"/>
  <c r="DA214" i="1"/>
  <c r="DF214" i="1" s="1"/>
  <c r="F214" i="1" s="1"/>
  <c r="G214" i="1" s="1"/>
  <c r="DB242" i="1"/>
  <c r="CX242" i="1"/>
  <c r="CY242" i="1" s="1"/>
  <c r="H242" i="1" s="1"/>
  <c r="DA246" i="1"/>
  <c r="CX260" i="1"/>
  <c r="CY260" i="1" s="1"/>
  <c r="CZ260" i="1"/>
  <c r="DE260" i="1" s="1"/>
  <c r="CZ309" i="1"/>
  <c r="DE309" i="1" s="1"/>
  <c r="DB309" i="1"/>
  <c r="CX309" i="1"/>
  <c r="CY309" i="1" s="1"/>
  <c r="H309" i="1" s="1"/>
  <c r="DB203" i="1"/>
  <c r="CX203" i="1"/>
  <c r="CY203" i="1" s="1"/>
  <c r="CZ203" i="1"/>
  <c r="DE203" i="1" s="1"/>
  <c r="H278" i="1"/>
  <c r="DF278" i="1"/>
  <c r="F278" i="1" s="1"/>
  <c r="G278" i="1" s="1"/>
  <c r="CX61" i="1"/>
  <c r="CY61" i="1" s="1"/>
  <c r="H61" i="1" s="1"/>
  <c r="CZ61" i="1"/>
  <c r="DE61" i="1" s="1"/>
  <c r="DA174" i="1"/>
  <c r="DD174" i="1"/>
  <c r="DC174" i="1"/>
  <c r="DB315" i="1"/>
  <c r="CZ315" i="1"/>
  <c r="DE315" i="1" s="1"/>
  <c r="CZ253" i="1"/>
  <c r="DE253" i="1" s="1"/>
  <c r="DB253" i="1"/>
  <c r="DC185" i="1"/>
  <c r="DA185" i="1"/>
  <c r="DA242" i="1"/>
  <c r="DB153" i="1"/>
  <c r="CZ153" i="1"/>
  <c r="DC158" i="1"/>
  <c r="DD158" i="1"/>
  <c r="CN169" i="1"/>
  <c r="CO169" i="1" s="1"/>
  <c r="CP169" i="1"/>
  <c r="CQ169" i="1" s="1"/>
  <c r="DC169" i="1" s="1"/>
  <c r="DB175" i="1"/>
  <c r="CX175" i="1"/>
  <c r="CY175" i="1" s="1"/>
  <c r="DA182" i="1"/>
  <c r="CZ191" i="1"/>
  <c r="DE191" i="1" s="1"/>
  <c r="CX191" i="1"/>
  <c r="CY191" i="1" s="1"/>
  <c r="DB191" i="1"/>
  <c r="DB197" i="1"/>
  <c r="CX197" i="1"/>
  <c r="CY197" i="1" s="1"/>
  <c r="CZ197" i="1"/>
  <c r="DE197" i="1" s="1"/>
  <c r="CZ215" i="1"/>
  <c r="CN239" i="1"/>
  <c r="CO239" i="1" s="1"/>
  <c r="CP239" i="1"/>
  <c r="CQ239" i="1" s="1"/>
  <c r="DA239" i="1" s="1"/>
  <c r="DB248" i="1"/>
  <c r="CZ248" i="1"/>
  <c r="DE248" i="1" s="1"/>
  <c r="CX248" i="1"/>
  <c r="CY248" i="1" s="1"/>
  <c r="H248" i="1" s="1"/>
  <c r="CN261" i="1"/>
  <c r="CO261" i="1" s="1"/>
  <c r="CP261" i="1"/>
  <c r="CQ261" i="1" s="1"/>
  <c r="DA300" i="1"/>
  <c r="DC300" i="1"/>
  <c r="DA310" i="1"/>
  <c r="CZ185" i="1"/>
  <c r="DC215" i="1"/>
  <c r="CX253" i="1"/>
  <c r="CY253" i="1" s="1"/>
  <c r="DB149" i="1"/>
  <c r="CX149" i="1"/>
  <c r="CY149" i="1" s="1"/>
  <c r="CZ149" i="1"/>
  <c r="DE149" i="1" s="1"/>
  <c r="CX204" i="1"/>
  <c r="CY204" i="1" s="1"/>
  <c r="CZ204" i="1"/>
  <c r="DE204" i="1" s="1"/>
  <c r="CZ182" i="1"/>
  <c r="DE182" i="1" s="1"/>
  <c r="DB182" i="1"/>
  <c r="CX182" i="1"/>
  <c r="CY182" i="1" s="1"/>
  <c r="DA80" i="1"/>
  <c r="DD80" i="1"/>
  <c r="DB297" i="1"/>
  <c r="CZ297" i="1"/>
  <c r="DE297" i="1" s="1"/>
  <c r="CX297" i="1"/>
  <c r="CY297" i="1" s="1"/>
  <c r="DB172" i="1"/>
  <c r="CZ172" i="1"/>
  <c r="DE172" i="1" s="1"/>
  <c r="CX172" i="1"/>
  <c r="CY172" i="1" s="1"/>
  <c r="DB194" i="1"/>
  <c r="CX194" i="1"/>
  <c r="CY194" i="1" s="1"/>
  <c r="H194" i="1" s="1"/>
  <c r="DD310" i="1"/>
  <c r="DF121" i="1"/>
  <c r="F121" i="1" s="1"/>
  <c r="G121" i="1" s="1"/>
  <c r="CZ96" i="1"/>
  <c r="DE96" i="1" s="1"/>
  <c r="DF98" i="1"/>
  <c r="F98" i="1" s="1"/>
  <c r="G98" i="1" s="1"/>
  <c r="DD123" i="1"/>
  <c r="CZ123" i="1"/>
  <c r="DE123" i="1" s="1"/>
  <c r="CZ151" i="1"/>
  <c r="DD152" i="1"/>
  <c r="DB302" i="1"/>
  <c r="CZ150" i="1"/>
  <c r="DE150" i="1" s="1"/>
  <c r="DB202" i="1"/>
  <c r="DF282" i="1"/>
  <c r="F282" i="1" s="1"/>
  <c r="G282" i="1" s="1"/>
  <c r="DB211" i="1"/>
  <c r="CX221" i="1"/>
  <c r="DA255" i="1"/>
  <c r="DB229" i="1"/>
  <c r="DB299" i="1"/>
  <c r="DF155" i="1"/>
  <c r="F155" i="1" s="1"/>
  <c r="G155" i="1" s="1"/>
  <c r="DF225" i="1"/>
  <c r="F225" i="1" s="1"/>
  <c r="G225" i="1" s="1"/>
  <c r="CZ162" i="1"/>
  <c r="CZ202" i="1"/>
  <c r="DE202" i="1" s="1"/>
  <c r="H154" i="1"/>
  <c r="CZ175" i="1"/>
  <c r="DE175" i="1" s="1"/>
  <c r="CX287" i="1"/>
  <c r="CY287" i="1" s="1"/>
  <c r="CX238" i="1"/>
  <c r="CY238" i="1" s="1"/>
  <c r="DC152" i="1"/>
  <c r="DF152" i="1" s="1"/>
  <c r="F152" i="1" s="1"/>
  <c r="G152" i="1" s="1"/>
  <c r="DC279" i="1"/>
  <c r="DC189" i="1"/>
  <c r="DF189" i="1" s="1"/>
  <c r="F189" i="1" s="1"/>
  <c r="G189" i="1" s="1"/>
  <c r="DA189" i="1"/>
  <c r="CZ161" i="1"/>
  <c r="DE161" i="1" s="1"/>
  <c r="CX161" i="1"/>
  <c r="CY161" i="1" s="1"/>
  <c r="CX174" i="1"/>
  <c r="CY174" i="1" s="1"/>
  <c r="CZ174" i="1"/>
  <c r="DE174" i="1" s="1"/>
  <c r="DB174" i="1"/>
  <c r="DC80" i="1"/>
  <c r="DA249" i="1"/>
  <c r="DC249" i="1"/>
  <c r="DC240" i="1"/>
  <c r="DA240" i="1"/>
  <c r="DA264" i="1"/>
  <c r="DC264" i="1"/>
  <c r="CX274" i="1"/>
  <c r="CY274" i="1" s="1"/>
  <c r="H274" i="1" s="1"/>
  <c r="DB274" i="1"/>
  <c r="CZ274" i="1"/>
  <c r="DE274" i="1" s="1"/>
  <c r="DD204" i="1"/>
  <c r="DC204" i="1"/>
  <c r="DD250" i="1"/>
  <c r="CZ250" i="1"/>
  <c r="CZ269" i="1"/>
  <c r="DC269" i="1"/>
  <c r="CZ158" i="1"/>
  <c r="DE158" i="1" s="1"/>
  <c r="DB158" i="1"/>
  <c r="CX158" i="1"/>
  <c r="CY158" i="1" s="1"/>
  <c r="DA188" i="1"/>
  <c r="CX184" i="1"/>
  <c r="CY184" i="1" s="1"/>
  <c r="CZ184" i="1"/>
  <c r="DE184" i="1" s="1"/>
  <c r="DB184" i="1"/>
  <c r="DB189" i="1"/>
  <c r="DB204" i="1"/>
  <c r="DB185" i="1"/>
  <c r="DB151" i="1"/>
  <c r="DA315" i="1"/>
  <c r="DB251" i="1"/>
  <c r="DB266" i="1"/>
  <c r="DA158" i="1"/>
  <c r="CX162" i="1"/>
  <c r="CY162" i="1" s="1"/>
  <c r="H162" i="1" s="1"/>
  <c r="DB162" i="1"/>
  <c r="DA172" i="1"/>
  <c r="CZ179" i="1"/>
  <c r="DE179" i="1" s="1"/>
  <c r="DB188" i="1"/>
  <c r="CX188" i="1"/>
  <c r="CY188" i="1" s="1"/>
  <c r="CZ188" i="1"/>
  <c r="DE188" i="1" s="1"/>
  <c r="DC191" i="1"/>
  <c r="DA191" i="1"/>
  <c r="CN209" i="1"/>
  <c r="CO209" i="1" s="1"/>
  <c r="CP209" i="1"/>
  <c r="CQ209" i="1" s="1"/>
  <c r="DC209" i="1" s="1"/>
  <c r="CN212" i="1"/>
  <c r="CO212" i="1" s="1"/>
  <c r="CP212" i="1"/>
  <c r="CQ212" i="1" s="1"/>
  <c r="CN75" i="1"/>
  <c r="CO75" i="1" s="1"/>
  <c r="CP75" i="1"/>
  <c r="CQ75" i="1" s="1"/>
  <c r="DD75" i="1" s="1"/>
  <c r="DB250" i="1"/>
  <c r="CZ264" i="1"/>
  <c r="CX201" i="1"/>
  <c r="CY201" i="1" s="1"/>
  <c r="CX205" i="1"/>
  <c r="CY205" i="1" s="1"/>
  <c r="H205" i="1" s="1"/>
  <c r="DC220" i="1"/>
  <c r="CX251" i="1"/>
  <c r="CY251" i="1" s="1"/>
  <c r="DA289" i="1"/>
  <c r="CX315" i="1"/>
  <c r="CY315" i="1" s="1"/>
  <c r="DB80" i="1"/>
  <c r="CX80" i="1"/>
  <c r="CY80" i="1" s="1"/>
  <c r="CZ80" i="1"/>
  <c r="DE80" i="1" s="1"/>
  <c r="DF292" i="1"/>
  <c r="F292" i="1" s="1"/>
  <c r="G292" i="1" s="1"/>
  <c r="DA119" i="1"/>
  <c r="DD119" i="1"/>
  <c r="CZ119" i="1"/>
  <c r="DE119" i="1" s="1"/>
  <c r="DB119" i="1"/>
  <c r="CY89" i="1"/>
  <c r="H89" i="1" s="1"/>
  <c r="DD115" i="1"/>
  <c r="CZ115" i="1"/>
  <c r="DE115" i="1" s="1"/>
  <c r="DB60" i="1"/>
  <c r="CZ130" i="1"/>
  <c r="DE130" i="1" s="1"/>
  <c r="DD130" i="1"/>
  <c r="DA88" i="1"/>
  <c r="DD88" i="1"/>
  <c r="DD193" i="1"/>
  <c r="DB193" i="1"/>
  <c r="DF193" i="1" s="1"/>
  <c r="F193" i="1" s="1"/>
  <c r="G193" i="1" s="1"/>
  <c r="CX59" i="1"/>
  <c r="CY59" i="1" s="1"/>
  <c r="CY126" i="1"/>
  <c r="H126" i="1" s="1"/>
  <c r="DA205" i="1"/>
  <c r="CZ205" i="1"/>
  <c r="DC205" i="1"/>
  <c r="CX156" i="1"/>
  <c r="CY156" i="1" s="1"/>
  <c r="H156" i="1" s="1"/>
  <c r="CZ156" i="1"/>
  <c r="DE156" i="1" s="1"/>
  <c r="DB156" i="1"/>
  <c r="CZ208" i="1"/>
  <c r="DB208" i="1"/>
  <c r="DB305" i="1"/>
  <c r="CZ305" i="1"/>
  <c r="DB304" i="1"/>
  <c r="CZ304" i="1"/>
  <c r="DA309" i="1"/>
  <c r="DC309" i="1"/>
  <c r="CX165" i="1"/>
  <c r="CY165" i="1" s="1"/>
  <c r="H165" i="1" s="1"/>
  <c r="CZ165" i="1"/>
  <c r="DE165" i="1" s="1"/>
  <c r="DB165" i="1"/>
  <c r="DB240" i="1"/>
  <c r="CX240" i="1"/>
  <c r="CY240" i="1" s="1"/>
  <c r="CZ240" i="1"/>
  <c r="DE240" i="1" s="1"/>
  <c r="DD296" i="1"/>
  <c r="CZ296" i="1"/>
  <c r="DB296" i="1"/>
  <c r="DA266" i="1"/>
  <c r="DC266" i="1"/>
  <c r="CZ266" i="1"/>
  <c r="CZ200" i="1"/>
  <c r="DE200" i="1" s="1"/>
  <c r="CX254" i="1"/>
  <c r="CY254" i="1" s="1"/>
  <c r="DB254" i="1"/>
  <c r="CZ254" i="1"/>
  <c r="DE254" i="1" s="1"/>
  <c r="CX219" i="1"/>
  <c r="CY219" i="1" s="1"/>
  <c r="H219" i="1" s="1"/>
  <c r="DB219" i="1"/>
  <c r="CZ219" i="1"/>
  <c r="DE219" i="1" s="1"/>
  <c r="DC245" i="1"/>
  <c r="DA245" i="1"/>
  <c r="DA222" i="1"/>
  <c r="DC222" i="1"/>
  <c r="DC136" i="1"/>
  <c r="CZ136" i="1"/>
  <c r="DA136" i="1"/>
  <c r="DB289" i="1"/>
  <c r="CX289" i="1"/>
  <c r="CY289" i="1" s="1"/>
  <c r="DC276" i="1"/>
  <c r="DA276" i="1"/>
  <c r="CZ276" i="1"/>
  <c r="DA200" i="1"/>
  <c r="DC200" i="1"/>
  <c r="DA254" i="1"/>
  <c r="DC254" i="1"/>
  <c r="DA290" i="1"/>
  <c r="DC290" i="1"/>
  <c r="DB241" i="1"/>
  <c r="CX241" i="1"/>
  <c r="CY241" i="1" s="1"/>
  <c r="H241" i="1" s="1"/>
  <c r="DB245" i="1"/>
  <c r="CX245" i="1"/>
  <c r="CY245" i="1" s="1"/>
  <c r="CZ245" i="1"/>
  <c r="DE245" i="1" s="1"/>
  <c r="CX180" i="1"/>
  <c r="CY180" i="1" s="1"/>
  <c r="H180" i="1" s="1"/>
  <c r="DB180" i="1"/>
  <c r="CX222" i="1"/>
  <c r="CY222" i="1" s="1"/>
  <c r="CZ222" i="1"/>
  <c r="DE222" i="1" s="1"/>
  <c r="DB222" i="1"/>
  <c r="DB247" i="1"/>
  <c r="CZ247" i="1"/>
  <c r="CZ289" i="1"/>
  <c r="DE289" i="1" s="1"/>
  <c r="DE257" i="1"/>
  <c r="H314" i="1"/>
  <c r="DF314" i="1"/>
  <c r="F314" i="1" s="1"/>
  <c r="G314" i="1" s="1"/>
  <c r="CY221" i="1"/>
  <c r="H221" i="1" s="1"/>
  <c r="CZ307" i="1"/>
  <c r="DE307" i="1" s="1"/>
  <c r="CZ131" i="1"/>
  <c r="DE131" i="1" s="1"/>
  <c r="CX279" i="1"/>
  <c r="CY279" i="1" s="1"/>
  <c r="DB279" i="1"/>
  <c r="CZ279" i="1"/>
  <c r="DE279" i="1" s="1"/>
  <c r="CX310" i="1"/>
  <c r="CY310" i="1" s="1"/>
  <c r="CZ310" i="1"/>
  <c r="DE310" i="1" s="1"/>
  <c r="DB310" i="1"/>
  <c r="DC159" i="1"/>
  <c r="DD159" i="1"/>
  <c r="DA159" i="1"/>
  <c r="CX255" i="1"/>
  <c r="CY255" i="1" s="1"/>
  <c r="H255" i="1" s="1"/>
  <c r="CZ255" i="1"/>
  <c r="DE255" i="1" s="1"/>
  <c r="DC277" i="1"/>
  <c r="DA277" i="1"/>
  <c r="CZ277" i="1"/>
  <c r="DE277" i="1" s="1"/>
  <c r="CZ301" i="1"/>
  <c r="DE301" i="1" s="1"/>
  <c r="CX301" i="1"/>
  <c r="CY301" i="1" s="1"/>
  <c r="DB301" i="1"/>
  <c r="CZ159" i="1"/>
  <c r="DE159" i="1" s="1"/>
  <c r="CX159" i="1"/>
  <c r="CY159" i="1" s="1"/>
  <c r="DB159" i="1"/>
  <c r="H140" i="1"/>
  <c r="DF140" i="1"/>
  <c r="F140" i="1" s="1"/>
  <c r="G140" i="1" s="1"/>
  <c r="H300" i="1"/>
  <c r="DF300" i="1"/>
  <c r="F300" i="1" s="1"/>
  <c r="G300" i="1" s="1"/>
  <c r="DB56" i="1"/>
  <c r="DD56" i="1"/>
  <c r="CZ56" i="1"/>
  <c r="DE56" i="1" s="1"/>
  <c r="DB87" i="1"/>
  <c r="DA126" i="1"/>
  <c r="DB126" i="1"/>
  <c r="DB97" i="1"/>
  <c r="CX97" i="1"/>
  <c r="CY97" i="1" s="1"/>
  <c r="H97" i="1" s="1"/>
  <c r="H55" i="1"/>
  <c r="DA115" i="1"/>
  <c r="H48" i="1"/>
  <c r="DF48" i="1"/>
  <c r="F48" i="1" s="1"/>
  <c r="G48" i="1" s="1"/>
  <c r="H62" i="1"/>
  <c r="CX104" i="1"/>
  <c r="CY104" i="1" s="1"/>
  <c r="CZ104" i="1"/>
  <c r="DE104" i="1" s="1"/>
  <c r="DB104" i="1"/>
  <c r="CX64" i="1"/>
  <c r="CY64" i="1" s="1"/>
  <c r="CZ64" i="1"/>
  <c r="DE64" i="1" s="1"/>
  <c r="DB64" i="1"/>
  <c r="DC64" i="1"/>
  <c r="DD64" i="1"/>
  <c r="H14" i="1"/>
  <c r="DB61" i="1"/>
  <c r="CZ42" i="1"/>
  <c r="DE42" i="1" s="1"/>
  <c r="DC128" i="1"/>
  <c r="DA128" i="1"/>
  <c r="DA58" i="1"/>
  <c r="DB42" i="1"/>
  <c r="CX42" i="1"/>
  <c r="CY42" i="1" s="1"/>
  <c r="H42" i="1" s="1"/>
  <c r="CZ91" i="1"/>
  <c r="DB91" i="1"/>
  <c r="CZ94" i="1"/>
  <c r="DE94" i="1" s="1"/>
  <c r="DB94" i="1"/>
  <c r="DF65" i="1"/>
  <c r="H65" i="1"/>
  <c r="DE148" i="1"/>
  <c r="CY95" i="1"/>
  <c r="H95" i="1" s="1"/>
  <c r="DC116" i="1"/>
  <c r="DA262" i="1"/>
  <c r="CY112" i="1"/>
  <c r="H112" i="1" s="1"/>
  <c r="DC176" i="1"/>
  <c r="DA171" i="1"/>
  <c r="DB139" i="1"/>
  <c r="CX139" i="1"/>
  <c r="CY139" i="1" s="1"/>
  <c r="CZ139" i="1"/>
  <c r="DE139" i="1" s="1"/>
  <c r="DB221" i="1"/>
  <c r="DD299" i="1"/>
  <c r="DF299" i="1" s="1"/>
  <c r="F299" i="1" s="1"/>
  <c r="G299" i="1" s="1"/>
  <c r="DA299" i="1"/>
  <c r="DB281" i="1"/>
  <c r="CZ281" i="1"/>
  <c r="DE281" i="1" s="1"/>
  <c r="DB290" i="1"/>
  <c r="CZ290" i="1"/>
  <c r="DE290" i="1" s="1"/>
  <c r="DC233" i="1"/>
  <c r="DA233" i="1"/>
  <c r="DB234" i="1"/>
  <c r="CX234" i="1"/>
  <c r="CY234" i="1" s="1"/>
  <c r="H234" i="1" s="1"/>
  <c r="CZ234" i="1"/>
  <c r="DE234" i="1" s="1"/>
  <c r="DC284" i="1"/>
  <c r="DA284" i="1"/>
  <c r="DC285" i="1"/>
  <c r="DA285" i="1"/>
  <c r="CX306" i="1"/>
  <c r="CY306" i="1" s="1"/>
  <c r="CZ306" i="1"/>
  <c r="DE306" i="1" s="1"/>
  <c r="DB306" i="1"/>
  <c r="DB228" i="1"/>
  <c r="CZ228" i="1"/>
  <c r="DE228" i="1" s="1"/>
  <c r="CX228" i="1"/>
  <c r="CY228" i="1" s="1"/>
  <c r="H228" i="1" s="1"/>
  <c r="CZ259" i="1"/>
  <c r="DE259" i="1" s="1"/>
  <c r="CX259" i="1"/>
  <c r="CY259" i="1" s="1"/>
  <c r="DB259" i="1"/>
  <c r="H277" i="1"/>
  <c r="DF232" i="1"/>
  <c r="F232" i="1" s="1"/>
  <c r="G232" i="1" s="1"/>
  <c r="DF137" i="1"/>
  <c r="F137" i="1" s="1"/>
  <c r="G137" i="1" s="1"/>
  <c r="DE199" i="1"/>
  <c r="DF199" i="1"/>
  <c r="F199" i="1" s="1"/>
  <c r="G199" i="1" s="1"/>
  <c r="CY31" i="1"/>
  <c r="H31" i="1" s="1"/>
  <c r="CZ176" i="1"/>
  <c r="DE176" i="1" s="1"/>
  <c r="DA148" i="1"/>
  <c r="DF148" i="1" s="1"/>
  <c r="F148" i="1" s="1"/>
  <c r="G148" i="1" s="1"/>
  <c r="DC148" i="1"/>
  <c r="CX186" i="1"/>
  <c r="CY186" i="1" s="1"/>
  <c r="DB186" i="1"/>
  <c r="CZ186" i="1"/>
  <c r="DE186" i="1" s="1"/>
  <c r="CX249" i="1"/>
  <c r="CY249" i="1" s="1"/>
  <c r="CZ249" i="1"/>
  <c r="DE249" i="1" s="1"/>
  <c r="DB246" i="1"/>
  <c r="CZ246" i="1"/>
  <c r="DE246" i="1" s="1"/>
  <c r="H290" i="1"/>
  <c r="CZ233" i="1"/>
  <c r="DE233" i="1" s="1"/>
  <c r="CX233" i="1"/>
  <c r="CY233" i="1" s="1"/>
  <c r="DB233" i="1"/>
  <c r="CZ275" i="1"/>
  <c r="DB275" i="1"/>
  <c r="CX284" i="1"/>
  <c r="CY284" i="1" s="1"/>
  <c r="CZ284" i="1"/>
  <c r="DE284" i="1" s="1"/>
  <c r="DB284" i="1"/>
  <c r="DB285" i="1"/>
  <c r="CZ285" i="1"/>
  <c r="DE285" i="1" s="1"/>
  <c r="CX285" i="1"/>
  <c r="CY285" i="1" s="1"/>
  <c r="DC306" i="1"/>
  <c r="DA306" i="1"/>
  <c r="DC228" i="1"/>
  <c r="DA228" i="1"/>
  <c r="DC259" i="1"/>
  <c r="DA259" i="1"/>
  <c r="DC281" i="1"/>
  <c r="DA281" i="1"/>
  <c r="DF281" i="1" s="1"/>
  <c r="F281" i="1" s="1"/>
  <c r="G281" i="1" s="1"/>
  <c r="H216" i="1"/>
  <c r="DF216" i="1"/>
  <c r="F216" i="1" s="1"/>
  <c r="G216" i="1" s="1"/>
  <c r="DE312" i="1"/>
  <c r="DF312" i="1"/>
  <c r="F312" i="1" s="1"/>
  <c r="G312" i="1" s="1"/>
  <c r="DF287" i="1"/>
  <c r="F287" i="1" s="1"/>
  <c r="G287" i="1" s="1"/>
  <c r="H287" i="1"/>
  <c r="H8" i="1"/>
  <c r="DB13" i="1"/>
  <c r="CZ13" i="1"/>
  <c r="CZ101" i="1"/>
  <c r="DE101" i="1" s="1"/>
  <c r="DD298" i="1"/>
  <c r="DA298" i="1"/>
  <c r="DC298" i="1"/>
  <c r="H152" i="1"/>
  <c r="DE223" i="1"/>
  <c r="CP181" i="1"/>
  <c r="CQ181" i="1" s="1"/>
  <c r="DD181" i="1" s="1"/>
  <c r="CN181" i="1"/>
  <c r="CO181" i="1" s="1"/>
  <c r="DC181" i="1"/>
  <c r="CX79" i="1"/>
  <c r="CY79" i="1" s="1"/>
  <c r="CZ79" i="1"/>
  <c r="DE79" i="1" s="1"/>
  <c r="CN271" i="1"/>
  <c r="CO271" i="1" s="1"/>
  <c r="CP271" i="1"/>
  <c r="CQ271" i="1" s="1"/>
  <c r="DA271" i="1" s="1"/>
  <c r="DA302" i="1"/>
  <c r="DC302" i="1"/>
  <c r="CZ302" i="1"/>
  <c r="DE151" i="1"/>
  <c r="H200" i="1"/>
  <c r="DF200" i="1"/>
  <c r="F200" i="1" s="1"/>
  <c r="G200" i="1" s="1"/>
  <c r="H67" i="1"/>
  <c r="CN267" i="1"/>
  <c r="CO267" i="1" s="1"/>
  <c r="CP267" i="1"/>
  <c r="CQ267" i="1" s="1"/>
  <c r="DD267" i="1" s="1"/>
  <c r="CX92" i="1"/>
  <c r="CY92" i="1" s="1"/>
  <c r="H92" i="1" s="1"/>
  <c r="DB92" i="1"/>
  <c r="CN213" i="1"/>
  <c r="CO213" i="1" s="1"/>
  <c r="CP213" i="1"/>
  <c r="CQ213" i="1" s="1"/>
  <c r="DC213" i="1" s="1"/>
  <c r="DD273" i="1"/>
  <c r="CZ273" i="1"/>
  <c r="DB273" i="1"/>
  <c r="CN252" i="1"/>
  <c r="CO252" i="1" s="1"/>
  <c r="CP252" i="1"/>
  <c r="CQ252" i="1" s="1"/>
  <c r="DC252" i="1" s="1"/>
  <c r="H178" i="1"/>
  <c r="CZ89" i="1"/>
  <c r="DE89" i="1" s="1"/>
  <c r="DC89" i="1"/>
  <c r="DB89" i="1"/>
  <c r="DD89" i="1"/>
  <c r="DA89" i="1"/>
  <c r="CZ157" i="1"/>
  <c r="DB157" i="1"/>
  <c r="CP100" i="1"/>
  <c r="CQ100" i="1" s="1"/>
  <c r="CN100" i="1"/>
  <c r="CO100" i="1" s="1"/>
  <c r="DA100" i="1"/>
  <c r="DB101" i="1"/>
  <c r="CX101" i="1"/>
  <c r="CY101" i="1" s="1"/>
  <c r="H101" i="1" s="1"/>
  <c r="CN127" i="1"/>
  <c r="CO127" i="1" s="1"/>
  <c r="CP127" i="1"/>
  <c r="CQ127" i="1" s="1"/>
  <c r="DF258" i="1"/>
  <c r="F258" i="1" s="1"/>
  <c r="G258" i="1" s="1"/>
  <c r="H143" i="1"/>
  <c r="DF143" i="1"/>
  <c r="F143" i="1" s="1"/>
  <c r="G143" i="1" s="1"/>
  <c r="CX128" i="1"/>
  <c r="CY128" i="1" s="1"/>
  <c r="CZ128" i="1"/>
  <c r="DE128" i="1" s="1"/>
  <c r="DB128" i="1"/>
  <c r="DB268" i="1"/>
  <c r="CX268" i="1"/>
  <c r="CY268" i="1" s="1"/>
  <c r="CZ268" i="1"/>
  <c r="DE268" i="1" s="1"/>
  <c r="DB171" i="1"/>
  <c r="CZ171" i="1"/>
  <c r="DE171" i="1" s="1"/>
  <c r="CX171" i="1"/>
  <c r="CY171" i="1" s="1"/>
  <c r="DE162" i="1"/>
  <c r="DB313" i="1"/>
  <c r="CZ313" i="1"/>
  <c r="DE313" i="1" s="1"/>
  <c r="CX313" i="1"/>
  <c r="CY313" i="1" s="1"/>
  <c r="H283" i="1"/>
  <c r="CZ178" i="1"/>
  <c r="DE178" i="1" s="1"/>
  <c r="DA178" i="1"/>
  <c r="DC178" i="1"/>
  <c r="CN263" i="1"/>
  <c r="CO263" i="1" s="1"/>
  <c r="CP263" i="1"/>
  <c r="CQ263" i="1" s="1"/>
  <c r="DF294" i="1"/>
  <c r="F294" i="1" s="1"/>
  <c r="G294" i="1" s="1"/>
  <c r="H294" i="1"/>
  <c r="DA71" i="1"/>
  <c r="DC151" i="1"/>
  <c r="DA151" i="1"/>
  <c r="CY183" i="1"/>
  <c r="DC117" i="1"/>
  <c r="DF286" i="1"/>
  <c r="F286" i="1" s="1"/>
  <c r="G286" i="1" s="1"/>
  <c r="H211" i="1"/>
  <c r="DF211" i="1"/>
  <c r="F211" i="1" s="1"/>
  <c r="G211" i="1" s="1"/>
  <c r="H146" i="1"/>
  <c r="DF146" i="1"/>
  <c r="F146" i="1" s="1"/>
  <c r="G146" i="1" s="1"/>
  <c r="CY19" i="1"/>
  <c r="CZ92" i="1"/>
  <c r="DE92" i="1" s="1"/>
  <c r="CX195" i="1"/>
  <c r="CY195" i="1" s="1"/>
  <c r="DB195" i="1"/>
  <c r="CZ195" i="1"/>
  <c r="DE195" i="1" s="1"/>
  <c r="DC313" i="1"/>
  <c r="DA313" i="1"/>
  <c r="DA283" i="1"/>
  <c r="DC283" i="1"/>
  <c r="CZ283" i="1"/>
  <c r="DE283" i="1" s="1"/>
  <c r="CP108" i="1"/>
  <c r="CQ108" i="1" s="1"/>
  <c r="DD108" i="1" s="1"/>
  <c r="CN108" i="1"/>
  <c r="CO108" i="1" s="1"/>
  <c r="DC108" i="1"/>
  <c r="DA117" i="1"/>
  <c r="H66" i="1"/>
  <c r="DA116" i="1"/>
  <c r="DC126" i="1"/>
  <c r="CP166" i="1"/>
  <c r="CQ166" i="1" s="1"/>
  <c r="DD166" i="1" s="1"/>
  <c r="CN166" i="1"/>
  <c r="CO166" i="1" s="1"/>
  <c r="DB183" i="1"/>
  <c r="CZ183" i="1"/>
  <c r="DE183" i="1" s="1"/>
  <c r="CX230" i="1"/>
  <c r="CY230" i="1" s="1"/>
  <c r="DB230" i="1"/>
  <c r="CZ230" i="1"/>
  <c r="DE230" i="1" s="1"/>
  <c r="CZ87" i="1"/>
  <c r="DE87" i="1" s="1"/>
  <c r="DB107" i="1"/>
  <c r="CN231" i="1"/>
  <c r="CO231" i="1" s="1"/>
  <c r="CP231" i="1"/>
  <c r="CQ231" i="1" s="1"/>
  <c r="DD231" i="1" s="1"/>
  <c r="DD163" i="1"/>
  <c r="DA163" i="1"/>
  <c r="DC163" i="1"/>
  <c r="DA194" i="1"/>
  <c r="CZ194" i="1"/>
  <c r="DC194" i="1"/>
  <c r="H179" i="1"/>
  <c r="H189" i="1"/>
  <c r="DF39" i="1"/>
  <c r="CX117" i="1"/>
  <c r="CY117" i="1" s="1"/>
  <c r="CZ117" i="1"/>
  <c r="DE117" i="1" s="1"/>
  <c r="DB117" i="1"/>
  <c r="DB298" i="1"/>
  <c r="CZ298" i="1"/>
  <c r="DE298" i="1" s="1"/>
  <c r="DB129" i="1"/>
  <c r="CZ129" i="1"/>
  <c r="DE129" i="1" s="1"/>
  <c r="DD31" i="1"/>
  <c r="DC31" i="1"/>
  <c r="DA31" i="1"/>
  <c r="DB31" i="1"/>
  <c r="CZ31" i="1"/>
  <c r="DE31" i="1" s="1"/>
  <c r="DB79" i="1"/>
  <c r="H176" i="1"/>
  <c r="CZ116" i="1"/>
  <c r="DE116" i="1" s="1"/>
  <c r="DB116" i="1"/>
  <c r="DF217" i="1"/>
  <c r="F217" i="1" s="1"/>
  <c r="G217" i="1" s="1"/>
  <c r="DE217" i="1"/>
  <c r="DF221" i="1"/>
  <c r="F221" i="1" s="1"/>
  <c r="G221" i="1" s="1"/>
  <c r="CP167" i="1"/>
  <c r="CQ167" i="1" s="1"/>
  <c r="DD167" i="1" s="1"/>
  <c r="CN167" i="1"/>
  <c r="CO167" i="1" s="1"/>
  <c r="H45" i="1"/>
  <c r="CZ107" i="1"/>
  <c r="DA236" i="1"/>
  <c r="DC236" i="1"/>
  <c r="CY246" i="1"/>
  <c r="DE164" i="1"/>
  <c r="DF164" i="1"/>
  <c r="F164" i="1" s="1"/>
  <c r="G164" i="1" s="1"/>
  <c r="DC262" i="1"/>
  <c r="DC76" i="1"/>
  <c r="H291" i="1"/>
  <c r="CZ126" i="1"/>
  <c r="DE126" i="1" s="1"/>
  <c r="DC230" i="1"/>
  <c r="CZ280" i="1"/>
  <c r="DB280" i="1"/>
  <c r="DB76" i="1"/>
  <c r="CX76" i="1"/>
  <c r="CY76" i="1" s="1"/>
  <c r="CZ76" i="1"/>
  <c r="DE76" i="1" s="1"/>
  <c r="H299" i="1"/>
  <c r="DC195" i="1"/>
  <c r="DA195" i="1"/>
  <c r="DA177" i="1"/>
  <c r="DC177" i="1"/>
  <c r="CZ141" i="1"/>
  <c r="DE141" i="1" s="1"/>
  <c r="DB141" i="1"/>
  <c r="CX141" i="1"/>
  <c r="CY141" i="1" s="1"/>
  <c r="CZ163" i="1"/>
  <c r="DE163" i="1" s="1"/>
  <c r="DB163" i="1"/>
  <c r="CX163" i="1"/>
  <c r="CY163" i="1" s="1"/>
  <c r="H150" i="1"/>
  <c r="DD293" i="1"/>
  <c r="DA293" i="1"/>
  <c r="DC293" i="1"/>
  <c r="H177" i="1"/>
  <c r="DF309" i="1"/>
  <c r="F309" i="1" s="1"/>
  <c r="G309" i="1" s="1"/>
  <c r="CZ60" i="1"/>
  <c r="DE60" i="1" s="1"/>
  <c r="DA101" i="1"/>
  <c r="DD24" i="1"/>
  <c r="DA24" i="1"/>
  <c r="DC24" i="1"/>
  <c r="DB115" i="1"/>
  <c r="CX115" i="1"/>
  <c r="CY115" i="1" s="1"/>
  <c r="DB236" i="1"/>
  <c r="CZ236" i="1"/>
  <c r="DE236" i="1" s="1"/>
  <c r="CX236" i="1"/>
  <c r="CY236" i="1" s="1"/>
  <c r="DC141" i="1"/>
  <c r="DA141" i="1"/>
  <c r="DD141" i="1"/>
  <c r="CZ293" i="1"/>
  <c r="DE293" i="1" s="1"/>
  <c r="DB293" i="1"/>
  <c r="CX293" i="1"/>
  <c r="CY293" i="1" s="1"/>
  <c r="DC183" i="1"/>
  <c r="DA183" i="1"/>
  <c r="CZ177" i="1"/>
  <c r="DE177" i="1" s="1"/>
  <c r="DF170" i="1"/>
  <c r="F170" i="1" s="1"/>
  <c r="G170" i="1" s="1"/>
  <c r="H170" i="1"/>
  <c r="DB262" i="1"/>
  <c r="CX262" i="1"/>
  <c r="CY262" i="1" s="1"/>
  <c r="CZ262" i="1"/>
  <c r="DE262" i="1" s="1"/>
  <c r="CX58" i="1"/>
  <c r="CY58" i="1" s="1"/>
  <c r="DB58" i="1"/>
  <c r="CZ58" i="1"/>
  <c r="DE58" i="1" s="1"/>
  <c r="CX298" i="1"/>
  <c r="CY298" i="1" s="1"/>
  <c r="DC71" i="1"/>
  <c r="DB71" i="1"/>
  <c r="CZ71" i="1"/>
  <c r="DE71" i="1" s="1"/>
  <c r="CX71" i="1"/>
  <c r="CY71" i="1" s="1"/>
  <c r="CZ24" i="1"/>
  <c r="DB24" i="1"/>
  <c r="DA20" i="1"/>
  <c r="DC20" i="1"/>
  <c r="DA90" i="1"/>
  <c r="H94" i="1"/>
  <c r="CX74" i="1"/>
  <c r="CY74" i="1" s="1"/>
  <c r="CZ74" i="1"/>
  <c r="DE74" i="1" s="1"/>
  <c r="DB74" i="1"/>
  <c r="H41" i="1"/>
  <c r="H82" i="1"/>
  <c r="DC74" i="1"/>
  <c r="DD74" i="1"/>
  <c r="DA74" i="1"/>
  <c r="CN83" i="1"/>
  <c r="CO83" i="1" s="1"/>
  <c r="CP83" i="1"/>
  <c r="CQ83" i="1" s="1"/>
  <c r="DD83" i="1" s="1"/>
  <c r="DB93" i="1"/>
  <c r="CX93" i="1"/>
  <c r="CY93" i="1" s="1"/>
  <c r="CZ93" i="1"/>
  <c r="DE93" i="1" s="1"/>
  <c r="CZ23" i="1"/>
  <c r="DE23" i="1" s="1"/>
  <c r="DB23" i="1"/>
  <c r="CX23" i="1"/>
  <c r="CY23" i="1" s="1"/>
  <c r="H111" i="1"/>
  <c r="DE25" i="1"/>
  <c r="CX10" i="1"/>
  <c r="CY10" i="1" s="1"/>
  <c r="DB10" i="1"/>
  <c r="CZ10" i="1"/>
  <c r="DE10" i="1" s="1"/>
  <c r="DD124" i="1"/>
  <c r="DA124" i="1"/>
  <c r="CZ124" i="1"/>
  <c r="DB124" i="1"/>
  <c r="CX90" i="1"/>
  <c r="CY90" i="1" s="1"/>
  <c r="CZ90" i="1"/>
  <c r="DE90" i="1" s="1"/>
  <c r="DB90" i="1"/>
  <c r="DD93" i="1"/>
  <c r="DC93" i="1"/>
  <c r="DA93" i="1"/>
  <c r="DA23" i="1"/>
  <c r="DC23" i="1"/>
  <c r="DE18" i="1"/>
  <c r="CX20" i="1"/>
  <c r="CY20" i="1" s="1"/>
  <c r="CZ20" i="1"/>
  <c r="DE20" i="1" s="1"/>
  <c r="DB20" i="1"/>
  <c r="DF180" i="1" l="1"/>
  <c r="F180" i="1" s="1"/>
  <c r="G180" i="1" s="1"/>
  <c r="DF55" i="1"/>
  <c r="F55" i="1" s="1"/>
  <c r="G55" i="1" s="1"/>
  <c r="DF14" i="1"/>
  <c r="F14" i="1" s="1"/>
  <c r="G14" i="1" s="1"/>
  <c r="DC224" i="1"/>
  <c r="DF120" i="1"/>
  <c r="F120" i="1" s="1"/>
  <c r="G120" i="1" s="1"/>
  <c r="DF51" i="1"/>
  <c r="F51" i="1" s="1"/>
  <c r="G51" i="1" s="1"/>
  <c r="DF15" i="1"/>
  <c r="DF73" i="1"/>
  <c r="F73" i="1" s="1"/>
  <c r="G73" i="1" s="1"/>
  <c r="DF82" i="1"/>
  <c r="F82" i="1" s="1"/>
  <c r="G82" i="1" s="1"/>
  <c r="DF72" i="1"/>
  <c r="F72" i="1" s="1"/>
  <c r="G72" i="1" s="1"/>
  <c r="DE7" i="1"/>
  <c r="DA102" i="1"/>
  <c r="H15" i="1"/>
  <c r="DF106" i="1"/>
  <c r="F106" i="1" s="1"/>
  <c r="G106" i="1" s="1"/>
  <c r="DF67" i="1"/>
  <c r="F67" i="1" s="1"/>
  <c r="G67" i="1" s="1"/>
  <c r="DF111" i="1"/>
  <c r="F111" i="1" s="1"/>
  <c r="G111" i="1" s="1"/>
  <c r="DC102" i="1"/>
  <c r="DF19" i="1"/>
  <c r="F19" i="1" s="1"/>
  <c r="G19" i="1" s="1"/>
  <c r="DF88" i="1"/>
  <c r="F88" i="1" s="1"/>
  <c r="G88" i="1" s="1"/>
  <c r="DF17" i="1"/>
  <c r="F17" i="1" s="1"/>
  <c r="G17" i="1" s="1"/>
  <c r="DF53" i="1"/>
  <c r="F53" i="1" s="1"/>
  <c r="G53" i="1" s="1"/>
  <c r="DF68" i="1"/>
  <c r="F68" i="1" s="1"/>
  <c r="G68" i="1" s="1"/>
  <c r="DF27" i="1"/>
  <c r="F27" i="1" s="1"/>
  <c r="G27" i="1" s="1"/>
  <c r="DF9" i="1"/>
  <c r="F9" i="1" s="1"/>
  <c r="G9" i="1" s="1"/>
  <c r="DF16" i="1"/>
  <c r="F16" i="1" s="1"/>
  <c r="G16" i="1" s="1"/>
  <c r="DF11" i="1"/>
  <c r="F11" i="1" s="1"/>
  <c r="G11" i="1" s="1"/>
  <c r="DF103" i="1"/>
  <c r="F103" i="1" s="1"/>
  <c r="G103" i="1" s="1"/>
  <c r="H27" i="1"/>
  <c r="H12" i="1"/>
  <c r="DF81" i="1"/>
  <c r="F81" i="1" s="1"/>
  <c r="G81" i="1" s="1"/>
  <c r="DF109" i="1"/>
  <c r="F109" i="1" s="1"/>
  <c r="G109" i="1" s="1"/>
  <c r="DF105" i="1"/>
  <c r="F105" i="1" s="1"/>
  <c r="G105" i="1" s="1"/>
  <c r="DF25" i="1"/>
  <c r="F25" i="1" s="1"/>
  <c r="G25" i="1" s="1"/>
  <c r="DF41" i="1"/>
  <c r="DF45" i="1"/>
  <c r="F45" i="1" s="1"/>
  <c r="G45" i="1" s="1"/>
  <c r="DF66" i="1"/>
  <c r="F66" i="1" s="1"/>
  <c r="G66" i="1" s="1"/>
  <c r="DF34" i="1"/>
  <c r="F34" i="1" s="1"/>
  <c r="G34" i="1" s="1"/>
  <c r="DF30" i="1"/>
  <c r="F30" i="1" s="1"/>
  <c r="G30" i="1" s="1"/>
  <c r="DF114" i="1"/>
  <c r="F114" i="1" s="1"/>
  <c r="G114" i="1" s="1"/>
  <c r="DF26" i="1"/>
  <c r="F26" i="1" s="1"/>
  <c r="G26" i="1" s="1"/>
  <c r="DF62" i="1"/>
  <c r="F62" i="1" s="1"/>
  <c r="G62" i="1" s="1"/>
  <c r="DF70" i="1"/>
  <c r="F70" i="1" s="1"/>
  <c r="G70" i="1" s="1"/>
  <c r="CZ78" i="1"/>
  <c r="DE78" i="1" s="1"/>
  <c r="DB102" i="1"/>
  <c r="DF32" i="1"/>
  <c r="F32" i="1" s="1"/>
  <c r="G32" i="1" s="1"/>
  <c r="DF63" i="1"/>
  <c r="F63" i="1" s="1"/>
  <c r="G63" i="1" s="1"/>
  <c r="DF36" i="1"/>
  <c r="F36" i="1" s="1"/>
  <c r="G36" i="1" s="1"/>
  <c r="DF86" i="1"/>
  <c r="F86" i="1" s="1"/>
  <c r="G86" i="1" s="1"/>
  <c r="DF126" i="1"/>
  <c r="F126" i="1" s="1"/>
  <c r="G126" i="1" s="1"/>
  <c r="DF107" i="1"/>
  <c r="F107" i="1" s="1"/>
  <c r="G107" i="1" s="1"/>
  <c r="DF123" i="1"/>
  <c r="F123" i="1" s="1"/>
  <c r="G123" i="1" s="1"/>
  <c r="DF8" i="1"/>
  <c r="F8" i="1" s="1"/>
  <c r="G8" i="1" s="1"/>
  <c r="F15" i="1"/>
  <c r="G15" i="1" s="1"/>
  <c r="F41" i="1"/>
  <c r="G41" i="1" s="1"/>
  <c r="F39" i="1"/>
  <c r="G39" i="1" s="1"/>
  <c r="F65" i="1"/>
  <c r="G65" i="1" s="1"/>
  <c r="DF92" i="1"/>
  <c r="F92" i="1" s="1"/>
  <c r="G92" i="1" s="1"/>
  <c r="DF144" i="1"/>
  <c r="F144" i="1" s="1"/>
  <c r="G144" i="1" s="1"/>
  <c r="DC100" i="1"/>
  <c r="DD100" i="1"/>
  <c r="H19" i="1"/>
  <c r="DF57" i="1"/>
  <c r="F57" i="1" s="1"/>
  <c r="G57" i="1" s="1"/>
  <c r="DF61" i="1"/>
  <c r="F61" i="1" s="1"/>
  <c r="G61" i="1" s="1"/>
  <c r="DF150" i="1"/>
  <c r="F150" i="1" s="1"/>
  <c r="G150" i="1" s="1"/>
  <c r="DF291" i="1"/>
  <c r="F291" i="1" s="1"/>
  <c r="G291" i="1" s="1"/>
  <c r="DF229" i="1"/>
  <c r="F229" i="1" s="1"/>
  <c r="G229" i="1" s="1"/>
  <c r="DC78" i="1"/>
  <c r="DF142" i="1"/>
  <c r="F142" i="1" s="1"/>
  <c r="G142" i="1" s="1"/>
  <c r="DF85" i="1"/>
  <c r="F85" i="1" s="1"/>
  <c r="G85" i="1" s="1"/>
  <c r="DF235" i="1"/>
  <c r="F235" i="1" s="1"/>
  <c r="G235" i="1" s="1"/>
  <c r="DF256" i="1"/>
  <c r="F256" i="1" s="1"/>
  <c r="G256" i="1" s="1"/>
  <c r="DF5" i="1"/>
  <c r="F5" i="1" s="1"/>
  <c r="G5" i="1" s="1"/>
  <c r="DF52" i="1"/>
  <c r="DF295" i="1"/>
  <c r="F295" i="1" s="1"/>
  <c r="G295" i="1" s="1"/>
  <c r="DF234" i="1"/>
  <c r="F234" i="1" s="1"/>
  <c r="G234" i="1" s="1"/>
  <c r="DF228" i="1"/>
  <c r="F228" i="1" s="1"/>
  <c r="G228" i="1" s="1"/>
  <c r="DF179" i="1"/>
  <c r="F179" i="1" s="1"/>
  <c r="G179" i="1" s="1"/>
  <c r="DF168" i="1"/>
  <c r="F168" i="1" s="1"/>
  <c r="G168" i="1" s="1"/>
  <c r="DF22" i="1"/>
  <c r="DF307" i="1"/>
  <c r="F307" i="1" s="1"/>
  <c r="G307" i="1" s="1"/>
  <c r="DF311" i="1"/>
  <c r="F311" i="1" s="1"/>
  <c r="G311" i="1" s="1"/>
  <c r="DB196" i="1"/>
  <c r="CX196" i="1"/>
  <c r="CY196" i="1" s="1"/>
  <c r="CZ196" i="1"/>
  <c r="DE196" i="1" s="1"/>
  <c r="CX54" i="1"/>
  <c r="CY54" i="1" s="1"/>
  <c r="CZ54" i="1"/>
  <c r="DE54" i="1" s="1"/>
  <c r="DB54" i="1"/>
  <c r="DB110" i="1"/>
  <c r="CZ110" i="1"/>
  <c r="DE110" i="1" s="1"/>
  <c r="CX110" i="1"/>
  <c r="CY110" i="1" s="1"/>
  <c r="DE227" i="1"/>
  <c r="DF227" i="1"/>
  <c r="F227" i="1" s="1"/>
  <c r="G227" i="1" s="1"/>
  <c r="H226" i="1"/>
  <c r="DF226" i="1"/>
  <c r="F226" i="1" s="1"/>
  <c r="G226" i="1" s="1"/>
  <c r="DE207" i="1"/>
  <c r="DF207" i="1"/>
  <c r="F207" i="1" s="1"/>
  <c r="G207" i="1" s="1"/>
  <c r="DF95" i="1"/>
  <c r="F95" i="1" s="1"/>
  <c r="DF42" i="1"/>
  <c r="F42" i="1" s="1"/>
  <c r="G42" i="1" s="1"/>
  <c r="DF176" i="1"/>
  <c r="F176" i="1" s="1"/>
  <c r="G176" i="1" s="1"/>
  <c r="DF244" i="1"/>
  <c r="F244" i="1" s="1"/>
  <c r="G244" i="1" s="1"/>
  <c r="CZ102" i="1"/>
  <c r="DE102" i="1" s="1"/>
  <c r="DF151" i="1"/>
  <c r="F151" i="1" s="1"/>
  <c r="G151" i="1" s="1"/>
  <c r="DF162" i="1"/>
  <c r="F162" i="1" s="1"/>
  <c r="G162" i="1" s="1"/>
  <c r="DF97" i="1"/>
  <c r="F97" i="1" s="1"/>
  <c r="G97" i="1" s="1"/>
  <c r="DF290" i="1"/>
  <c r="F290" i="1" s="1"/>
  <c r="G290" i="1" s="1"/>
  <c r="DF112" i="1"/>
  <c r="F112" i="1" s="1"/>
  <c r="G112" i="1" s="1"/>
  <c r="DF288" i="1"/>
  <c r="F288" i="1" s="1"/>
  <c r="G288" i="1" s="1"/>
  <c r="DF257" i="1"/>
  <c r="F257" i="1" s="1"/>
  <c r="G257" i="1" s="1"/>
  <c r="DF29" i="1"/>
  <c r="F29" i="1" s="1"/>
  <c r="G29" i="1" s="1"/>
  <c r="DF242" i="1"/>
  <c r="F242" i="1" s="1"/>
  <c r="G242" i="1" s="1"/>
  <c r="DF303" i="1"/>
  <c r="F303" i="1" s="1"/>
  <c r="G303" i="1" s="1"/>
  <c r="DF44" i="1"/>
  <c r="DF220" i="1"/>
  <c r="F220" i="1" s="1"/>
  <c r="G220" i="1" s="1"/>
  <c r="DA224" i="1"/>
  <c r="DB224" i="1"/>
  <c r="CX224" i="1"/>
  <c r="CY224" i="1" s="1"/>
  <c r="CZ224" i="1"/>
  <c r="DE224" i="1" s="1"/>
  <c r="DC196" i="1"/>
  <c r="DA196" i="1"/>
  <c r="DC54" i="1"/>
  <c r="DD54" i="1"/>
  <c r="DA54" i="1"/>
  <c r="DA110" i="1"/>
  <c r="DC110" i="1"/>
  <c r="H147" i="1"/>
  <c r="DF147" i="1"/>
  <c r="F147" i="1" s="1"/>
  <c r="G147" i="1" s="1"/>
  <c r="DB317" i="1"/>
  <c r="CZ317" i="1"/>
  <c r="DE317" i="1" s="1"/>
  <c r="H138" i="1"/>
  <c r="DF138" i="1"/>
  <c r="F138" i="1" s="1"/>
  <c r="G138" i="1" s="1"/>
  <c r="DB78" i="1"/>
  <c r="CX78" i="1"/>
  <c r="CY78" i="1" s="1"/>
  <c r="H78" i="1" s="1"/>
  <c r="DB46" i="1"/>
  <c r="CZ46" i="1"/>
  <c r="DF47" i="1"/>
  <c r="F47" i="1" s="1"/>
  <c r="G47" i="1" s="1"/>
  <c r="H47" i="1"/>
  <c r="DF192" i="1"/>
  <c r="F192" i="1" s="1"/>
  <c r="G192" i="1" s="1"/>
  <c r="DE38" i="1"/>
  <c r="DF38" i="1"/>
  <c r="DF96" i="1"/>
  <c r="DF33" i="1"/>
  <c r="F33" i="1" s="1"/>
  <c r="G33" i="1" s="1"/>
  <c r="DF31" i="1"/>
  <c r="F31" i="1" s="1"/>
  <c r="G31" i="1" s="1"/>
  <c r="DF277" i="1"/>
  <c r="F277" i="1" s="1"/>
  <c r="G277" i="1" s="1"/>
  <c r="DF241" i="1"/>
  <c r="F241" i="1" s="1"/>
  <c r="G241" i="1" s="1"/>
  <c r="DC239" i="1"/>
  <c r="DF129" i="1"/>
  <c r="F129" i="1" s="1"/>
  <c r="G129" i="1" s="1"/>
  <c r="H33" i="1"/>
  <c r="DA75" i="1"/>
  <c r="DF49" i="1"/>
  <c r="F49" i="1" s="1"/>
  <c r="G49" i="1" s="1"/>
  <c r="DF50" i="1"/>
  <c r="DA169" i="1"/>
  <c r="DF154" i="1"/>
  <c r="F154" i="1" s="1"/>
  <c r="G154" i="1" s="1"/>
  <c r="H210" i="1"/>
  <c r="DF210" i="1"/>
  <c r="F210" i="1" s="1"/>
  <c r="G210" i="1" s="1"/>
  <c r="H260" i="1"/>
  <c r="DF260" i="1"/>
  <c r="F260" i="1" s="1"/>
  <c r="G260" i="1" s="1"/>
  <c r="DE206" i="1"/>
  <c r="DF206" i="1"/>
  <c r="F206" i="1" s="1"/>
  <c r="G206" i="1" s="1"/>
  <c r="DF190" i="1"/>
  <c r="F190" i="1" s="1"/>
  <c r="G190" i="1" s="1"/>
  <c r="H158" i="1"/>
  <c r="DF158" i="1"/>
  <c r="F158" i="1" s="1"/>
  <c r="G158" i="1" s="1"/>
  <c r="DA252" i="1"/>
  <c r="DA213" i="1"/>
  <c r="DF201" i="1"/>
  <c r="F201" i="1" s="1"/>
  <c r="G201" i="1" s="1"/>
  <c r="H201" i="1"/>
  <c r="DC75" i="1"/>
  <c r="CX75" i="1"/>
  <c r="CY75" i="1" s="1"/>
  <c r="CZ75" i="1"/>
  <c r="DE75" i="1" s="1"/>
  <c r="DB75" i="1"/>
  <c r="DB212" i="1"/>
  <c r="CX212" i="1"/>
  <c r="CY212" i="1" s="1"/>
  <c r="H212" i="1" s="1"/>
  <c r="CZ212" i="1"/>
  <c r="DE212" i="1" s="1"/>
  <c r="DA209" i="1"/>
  <c r="DE250" i="1"/>
  <c r="DF250" i="1"/>
  <c r="F250" i="1" s="1"/>
  <c r="G250" i="1" s="1"/>
  <c r="H174" i="1"/>
  <c r="DF174" i="1"/>
  <c r="F174" i="1" s="1"/>
  <c r="G174" i="1" s="1"/>
  <c r="H238" i="1"/>
  <c r="DF238" i="1"/>
  <c r="F238" i="1" s="1"/>
  <c r="G238" i="1" s="1"/>
  <c r="H297" i="1"/>
  <c r="DF297" i="1"/>
  <c r="F297" i="1" s="1"/>
  <c r="G297" i="1" s="1"/>
  <c r="DF248" i="1"/>
  <c r="F248" i="1" s="1"/>
  <c r="G248" i="1" s="1"/>
  <c r="DB261" i="1"/>
  <c r="CX261" i="1"/>
  <c r="CY261" i="1" s="1"/>
  <c r="CZ261" i="1"/>
  <c r="DE261" i="1" s="1"/>
  <c r="DE215" i="1"/>
  <c r="DF215" i="1"/>
  <c r="F215" i="1" s="1"/>
  <c r="G215" i="1" s="1"/>
  <c r="DF197" i="1"/>
  <c r="F197" i="1" s="1"/>
  <c r="G197" i="1" s="1"/>
  <c r="H197" i="1"/>
  <c r="H175" i="1"/>
  <c r="DF175" i="1"/>
  <c r="F175" i="1" s="1"/>
  <c r="G175" i="1" s="1"/>
  <c r="DE153" i="1"/>
  <c r="DF153" i="1"/>
  <c r="F153" i="1" s="1"/>
  <c r="G153" i="1" s="1"/>
  <c r="H315" i="1"/>
  <c r="DF315" i="1"/>
  <c r="F315" i="1" s="1"/>
  <c r="G315" i="1" s="1"/>
  <c r="H251" i="1"/>
  <c r="DF251" i="1"/>
  <c r="F251" i="1" s="1"/>
  <c r="G251" i="1" s="1"/>
  <c r="DE264" i="1"/>
  <c r="DF264" i="1"/>
  <c r="F264" i="1" s="1"/>
  <c r="G264" i="1" s="1"/>
  <c r="DA212" i="1"/>
  <c r="DF212" i="1" s="1"/>
  <c r="F212" i="1" s="1"/>
  <c r="G212" i="1" s="1"/>
  <c r="DC212" i="1"/>
  <c r="CX209" i="1"/>
  <c r="CY209" i="1" s="1"/>
  <c r="CZ209" i="1"/>
  <c r="DE209" i="1" s="1"/>
  <c r="DB209" i="1"/>
  <c r="H188" i="1"/>
  <c r="DF188" i="1"/>
  <c r="F188" i="1" s="1"/>
  <c r="G188" i="1" s="1"/>
  <c r="DF184" i="1"/>
  <c r="F184" i="1" s="1"/>
  <c r="G184" i="1" s="1"/>
  <c r="H184" i="1"/>
  <c r="DE269" i="1"/>
  <c r="DF269" i="1"/>
  <c r="F269" i="1" s="1"/>
  <c r="G269" i="1" s="1"/>
  <c r="DF161" i="1"/>
  <c r="F161" i="1" s="1"/>
  <c r="G161" i="1" s="1"/>
  <c r="H161" i="1"/>
  <c r="DF202" i="1"/>
  <c r="F202" i="1" s="1"/>
  <c r="G202" i="1" s="1"/>
  <c r="H172" i="1"/>
  <c r="DF172" i="1"/>
  <c r="F172" i="1" s="1"/>
  <c r="G172" i="1" s="1"/>
  <c r="DF182" i="1"/>
  <c r="F182" i="1" s="1"/>
  <c r="G182" i="1" s="1"/>
  <c r="H182" i="1"/>
  <c r="H204" i="1"/>
  <c r="DF204" i="1"/>
  <c r="F204" i="1" s="1"/>
  <c r="G204" i="1" s="1"/>
  <c r="H149" i="1"/>
  <c r="DF149" i="1"/>
  <c r="DF253" i="1"/>
  <c r="F253" i="1" s="1"/>
  <c r="G253" i="1" s="1"/>
  <c r="H253" i="1"/>
  <c r="DE185" i="1"/>
  <c r="DF185" i="1"/>
  <c r="F185" i="1" s="1"/>
  <c r="G185" i="1" s="1"/>
  <c r="DC261" i="1"/>
  <c r="DA261" i="1"/>
  <c r="DB239" i="1"/>
  <c r="CX239" i="1"/>
  <c r="CY239" i="1" s="1"/>
  <c r="H239" i="1" s="1"/>
  <c r="CZ239" i="1"/>
  <c r="DE239" i="1" s="1"/>
  <c r="H191" i="1"/>
  <c r="DF191" i="1"/>
  <c r="F191" i="1" s="1"/>
  <c r="G191" i="1" s="1"/>
  <c r="CX169" i="1"/>
  <c r="CY169" i="1" s="1"/>
  <c r="DB169" i="1"/>
  <c r="CZ169" i="1"/>
  <c r="DE169" i="1" s="1"/>
  <c r="DF274" i="1"/>
  <c r="F274" i="1" s="1"/>
  <c r="G274" i="1" s="1"/>
  <c r="H203" i="1"/>
  <c r="DF203" i="1"/>
  <c r="F203" i="1" s="1"/>
  <c r="G203" i="1" s="1"/>
  <c r="DF59" i="1"/>
  <c r="F59" i="1" s="1"/>
  <c r="G59" i="1" s="1"/>
  <c r="H59" i="1"/>
  <c r="DF131" i="1"/>
  <c r="F131" i="1" s="1"/>
  <c r="G131" i="1" s="1"/>
  <c r="H80" i="1"/>
  <c r="DF80" i="1"/>
  <c r="F80" i="1" s="1"/>
  <c r="G80" i="1" s="1"/>
  <c r="DF119" i="1"/>
  <c r="F119" i="1" s="1"/>
  <c r="G119" i="1" s="1"/>
  <c r="DF130" i="1"/>
  <c r="F130" i="1" s="1"/>
  <c r="G130" i="1" s="1"/>
  <c r="DF87" i="1"/>
  <c r="F87" i="1" s="1"/>
  <c r="G87" i="1" s="1"/>
  <c r="DF304" i="1"/>
  <c r="F304" i="1" s="1"/>
  <c r="G304" i="1" s="1"/>
  <c r="DE304" i="1"/>
  <c r="DE208" i="1"/>
  <c r="DF208" i="1"/>
  <c r="F208" i="1" s="1"/>
  <c r="G208" i="1" s="1"/>
  <c r="DE305" i="1"/>
  <c r="DF305" i="1"/>
  <c r="F305" i="1" s="1"/>
  <c r="G305" i="1" s="1"/>
  <c r="DE205" i="1"/>
  <c r="DF205" i="1"/>
  <c r="F205" i="1" s="1"/>
  <c r="G205" i="1" s="1"/>
  <c r="DF165" i="1"/>
  <c r="F165" i="1" s="1"/>
  <c r="G165" i="1" s="1"/>
  <c r="DF156" i="1"/>
  <c r="F156" i="1" s="1"/>
  <c r="G156" i="1" s="1"/>
  <c r="DE247" i="1"/>
  <c r="DF247" i="1"/>
  <c r="F247" i="1" s="1"/>
  <c r="G247" i="1" s="1"/>
  <c r="DF222" i="1"/>
  <c r="F222" i="1" s="1"/>
  <c r="G222" i="1" s="1"/>
  <c r="H222" i="1"/>
  <c r="H245" i="1"/>
  <c r="DF245" i="1"/>
  <c r="F245" i="1" s="1"/>
  <c r="G245" i="1" s="1"/>
  <c r="DE276" i="1"/>
  <c r="DF276" i="1"/>
  <c r="F276" i="1" s="1"/>
  <c r="G276" i="1" s="1"/>
  <c r="DE136" i="1"/>
  <c r="DF136" i="1"/>
  <c r="F136" i="1" s="1"/>
  <c r="G136" i="1" s="1"/>
  <c r="H240" i="1"/>
  <c r="DF240" i="1"/>
  <c r="F240" i="1" s="1"/>
  <c r="G240" i="1" s="1"/>
  <c r="H289" i="1"/>
  <c r="DF289" i="1"/>
  <c r="F289" i="1" s="1"/>
  <c r="G289" i="1" s="1"/>
  <c r="DF254" i="1"/>
  <c r="F254" i="1" s="1"/>
  <c r="G254" i="1" s="1"/>
  <c r="H254" i="1"/>
  <c r="DE266" i="1"/>
  <c r="DF266" i="1"/>
  <c r="F266" i="1" s="1"/>
  <c r="G266" i="1" s="1"/>
  <c r="DE296" i="1"/>
  <c r="DF296" i="1"/>
  <c r="F296" i="1" s="1"/>
  <c r="G296" i="1" s="1"/>
  <c r="DF219" i="1"/>
  <c r="F219" i="1" s="1"/>
  <c r="G219" i="1" s="1"/>
  <c r="H301" i="1"/>
  <c r="DF301" i="1"/>
  <c r="F301" i="1" s="1"/>
  <c r="G301" i="1" s="1"/>
  <c r="H310" i="1"/>
  <c r="DF310" i="1"/>
  <c r="F310" i="1" s="1"/>
  <c r="G310" i="1" s="1"/>
  <c r="DF255" i="1"/>
  <c r="F255" i="1" s="1"/>
  <c r="G255" i="1" s="1"/>
  <c r="H159" i="1"/>
  <c r="DF159" i="1"/>
  <c r="F159" i="1" s="1"/>
  <c r="G159" i="1" s="1"/>
  <c r="H279" i="1"/>
  <c r="DF279" i="1"/>
  <c r="F279" i="1" s="1"/>
  <c r="G279" i="1" s="1"/>
  <c r="DF56" i="1"/>
  <c r="H104" i="1"/>
  <c r="DF104" i="1"/>
  <c r="F104" i="1" s="1"/>
  <c r="G104" i="1" s="1"/>
  <c r="H64" i="1"/>
  <c r="DF64" i="1"/>
  <c r="DF91" i="1"/>
  <c r="DE91" i="1"/>
  <c r="DF94" i="1"/>
  <c r="DF283" i="1"/>
  <c r="F283" i="1" s="1"/>
  <c r="G283" i="1" s="1"/>
  <c r="DF89" i="1"/>
  <c r="F89" i="1" s="1"/>
  <c r="G89" i="1" s="1"/>
  <c r="DC271" i="1"/>
  <c r="DF284" i="1"/>
  <c r="F284" i="1" s="1"/>
  <c r="G284" i="1" s="1"/>
  <c r="H284" i="1"/>
  <c r="DE275" i="1"/>
  <c r="DF275" i="1"/>
  <c r="F275" i="1" s="1"/>
  <c r="G275" i="1" s="1"/>
  <c r="H233" i="1"/>
  <c r="DF233" i="1"/>
  <c r="F233" i="1" s="1"/>
  <c r="G233" i="1" s="1"/>
  <c r="H186" i="1"/>
  <c r="DF186" i="1"/>
  <c r="F186" i="1" s="1"/>
  <c r="G186" i="1" s="1"/>
  <c r="DF306" i="1"/>
  <c r="F306" i="1" s="1"/>
  <c r="G306" i="1" s="1"/>
  <c r="H306" i="1"/>
  <c r="H139" i="1"/>
  <c r="DF139" i="1"/>
  <c r="F139" i="1" s="1"/>
  <c r="G139" i="1" s="1"/>
  <c r="DF177" i="1"/>
  <c r="F177" i="1" s="1"/>
  <c r="G177" i="1" s="1"/>
  <c r="H285" i="1"/>
  <c r="DF285" i="1"/>
  <c r="F285" i="1" s="1"/>
  <c r="G285" i="1" s="1"/>
  <c r="H249" i="1"/>
  <c r="DF249" i="1"/>
  <c r="F249" i="1" s="1"/>
  <c r="G249" i="1" s="1"/>
  <c r="H259" i="1"/>
  <c r="DF259" i="1"/>
  <c r="F259" i="1" s="1"/>
  <c r="G259" i="1" s="1"/>
  <c r="DE13" i="1"/>
  <c r="DF13" i="1"/>
  <c r="F13" i="1" s="1"/>
  <c r="G13" i="1" s="1"/>
  <c r="H298" i="1"/>
  <c r="DF298" i="1"/>
  <c r="F298" i="1" s="1"/>
  <c r="G298" i="1" s="1"/>
  <c r="CZ263" i="1"/>
  <c r="DE263" i="1" s="1"/>
  <c r="DF263" i="1" s="1"/>
  <c r="F263" i="1" s="1"/>
  <c r="G263" i="1" s="1"/>
  <c r="DB263" i="1"/>
  <c r="H79" i="1"/>
  <c r="DF79" i="1"/>
  <c r="F79" i="1" s="1"/>
  <c r="G79" i="1" s="1"/>
  <c r="DC231" i="1"/>
  <c r="DE107" i="1"/>
  <c r="H293" i="1"/>
  <c r="DF293" i="1"/>
  <c r="F293" i="1" s="1"/>
  <c r="G293" i="1" s="1"/>
  <c r="DF102" i="1"/>
  <c r="F102" i="1" s="1"/>
  <c r="G102" i="1" s="1"/>
  <c r="H268" i="1"/>
  <c r="DF268" i="1"/>
  <c r="F268" i="1" s="1"/>
  <c r="G268" i="1" s="1"/>
  <c r="DB100" i="1"/>
  <c r="CX100" i="1"/>
  <c r="CY100" i="1" s="1"/>
  <c r="CZ100" i="1"/>
  <c r="DE100" i="1" s="1"/>
  <c r="DA181" i="1"/>
  <c r="CX252" i="1"/>
  <c r="CY252" i="1" s="1"/>
  <c r="CZ252" i="1"/>
  <c r="DE252" i="1" s="1"/>
  <c r="DB252" i="1"/>
  <c r="DE302" i="1"/>
  <c r="DF302" i="1"/>
  <c r="F302" i="1" s="1"/>
  <c r="G302" i="1" s="1"/>
  <c r="DF262" i="1"/>
  <c r="F262" i="1" s="1"/>
  <c r="G262" i="1" s="1"/>
  <c r="H262" i="1"/>
  <c r="H76" i="1"/>
  <c r="DF76" i="1"/>
  <c r="F76" i="1" s="1"/>
  <c r="G76" i="1" s="1"/>
  <c r="CZ267" i="1"/>
  <c r="DE267" i="1" s="1"/>
  <c r="CX267" i="1"/>
  <c r="CY267" i="1" s="1"/>
  <c r="DB267" i="1"/>
  <c r="DF60" i="1"/>
  <c r="F60" i="1" s="1"/>
  <c r="G60" i="1" s="1"/>
  <c r="DF163" i="1"/>
  <c r="F163" i="1" s="1"/>
  <c r="G163" i="1" s="1"/>
  <c r="H163" i="1"/>
  <c r="H230" i="1"/>
  <c r="DF230" i="1"/>
  <c r="F230" i="1" s="1"/>
  <c r="G230" i="1" s="1"/>
  <c r="DA108" i="1"/>
  <c r="H313" i="1"/>
  <c r="DF313" i="1"/>
  <c r="F313" i="1" s="1"/>
  <c r="G313" i="1" s="1"/>
  <c r="DE273" i="1"/>
  <c r="DF273" i="1"/>
  <c r="F273" i="1" s="1"/>
  <c r="G273" i="1" s="1"/>
  <c r="DF115" i="1"/>
  <c r="F115" i="1" s="1"/>
  <c r="G115" i="1" s="1"/>
  <c r="H115" i="1"/>
  <c r="DF101" i="1"/>
  <c r="CZ167" i="1"/>
  <c r="DB167" i="1"/>
  <c r="DB108" i="1"/>
  <c r="CX108" i="1"/>
  <c r="CY108" i="1" s="1"/>
  <c r="CZ108" i="1"/>
  <c r="DE108" i="1" s="1"/>
  <c r="DF178" i="1"/>
  <c r="F178" i="1" s="1"/>
  <c r="G178" i="1" s="1"/>
  <c r="CX181" i="1"/>
  <c r="CY181" i="1" s="1"/>
  <c r="CZ181" i="1"/>
  <c r="DE181" i="1" s="1"/>
  <c r="DB181" i="1"/>
  <c r="DE280" i="1"/>
  <c r="DF280" i="1"/>
  <c r="F280" i="1" s="1"/>
  <c r="G280" i="1" s="1"/>
  <c r="H195" i="1"/>
  <c r="DF195" i="1"/>
  <c r="F195" i="1" s="1"/>
  <c r="G195" i="1" s="1"/>
  <c r="DA127" i="1"/>
  <c r="DC127" i="1"/>
  <c r="DA231" i="1"/>
  <c r="H236" i="1"/>
  <c r="DF236" i="1"/>
  <c r="F236" i="1" s="1"/>
  <c r="G236" i="1" s="1"/>
  <c r="H141" i="1"/>
  <c r="DF141" i="1"/>
  <c r="F141" i="1" s="1"/>
  <c r="G141" i="1" s="1"/>
  <c r="H246" i="1"/>
  <c r="DF246" i="1"/>
  <c r="F246" i="1" s="1"/>
  <c r="G246" i="1" s="1"/>
  <c r="H117" i="1"/>
  <c r="DF117" i="1"/>
  <c r="F117" i="1" s="1"/>
  <c r="G117" i="1" s="1"/>
  <c r="DB231" i="1"/>
  <c r="CZ231" i="1"/>
  <c r="DE231" i="1" s="1"/>
  <c r="CX231" i="1"/>
  <c r="CY231" i="1" s="1"/>
  <c r="H183" i="1"/>
  <c r="DF183" i="1"/>
  <c r="F183" i="1" s="1"/>
  <c r="G183" i="1" s="1"/>
  <c r="DB127" i="1"/>
  <c r="CX127" i="1"/>
  <c r="CY127" i="1" s="1"/>
  <c r="CZ127" i="1"/>
  <c r="DE127" i="1" s="1"/>
  <c r="DE157" i="1"/>
  <c r="DF157" i="1"/>
  <c r="F157" i="1" s="1"/>
  <c r="G157" i="1" s="1"/>
  <c r="H171" i="1"/>
  <c r="DF171" i="1"/>
  <c r="F171" i="1" s="1"/>
  <c r="G171" i="1" s="1"/>
  <c r="H128" i="1"/>
  <c r="DF128" i="1"/>
  <c r="F128" i="1" s="1"/>
  <c r="G128" i="1" s="1"/>
  <c r="DC267" i="1"/>
  <c r="DB271" i="1"/>
  <c r="CX271" i="1"/>
  <c r="CY271" i="1" s="1"/>
  <c r="CZ271" i="1"/>
  <c r="DE271" i="1" s="1"/>
  <c r="DF116" i="1"/>
  <c r="F116" i="1" s="1"/>
  <c r="G116" i="1" s="1"/>
  <c r="H58" i="1"/>
  <c r="DF58" i="1"/>
  <c r="F58" i="1" s="1"/>
  <c r="G58" i="1" s="1"/>
  <c r="DE194" i="1"/>
  <c r="DF194" i="1"/>
  <c r="F194" i="1" s="1"/>
  <c r="G194" i="1" s="1"/>
  <c r="CZ166" i="1"/>
  <c r="DB166" i="1"/>
  <c r="DB213" i="1"/>
  <c r="CZ213" i="1"/>
  <c r="DE213" i="1" s="1"/>
  <c r="CX213" i="1"/>
  <c r="CY213" i="1" s="1"/>
  <c r="DA267" i="1"/>
  <c r="H71" i="1"/>
  <c r="DF71" i="1"/>
  <c r="F71" i="1" s="1"/>
  <c r="G71" i="1" s="1"/>
  <c r="DE24" i="1"/>
  <c r="DF24" i="1"/>
  <c r="DA83" i="1"/>
  <c r="H74" i="1"/>
  <c r="DF74" i="1"/>
  <c r="F74" i="1" s="1"/>
  <c r="G74" i="1" s="1"/>
  <c r="H90" i="1"/>
  <c r="DF90" i="1"/>
  <c r="F90" i="1" s="1"/>
  <c r="G90" i="1" s="1"/>
  <c r="DE124" i="1"/>
  <c r="DF124" i="1" s="1"/>
  <c r="F124" i="1" s="1"/>
  <c r="G124" i="1" s="1"/>
  <c r="DF23" i="1"/>
  <c r="F23" i="1" s="1"/>
  <c r="G23" i="1" s="1"/>
  <c r="H23" i="1"/>
  <c r="H93" i="1"/>
  <c r="DF93" i="1"/>
  <c r="F93" i="1" s="1"/>
  <c r="G93" i="1" s="1"/>
  <c r="H10" i="1"/>
  <c r="DF10" i="1"/>
  <c r="F10" i="1" s="1"/>
  <c r="G10" i="1" s="1"/>
  <c r="DC83" i="1"/>
  <c r="CX83" i="1"/>
  <c r="CY83" i="1" s="1"/>
  <c r="CZ83" i="1"/>
  <c r="DE83" i="1" s="1"/>
  <c r="DB83" i="1"/>
  <c r="H20" i="1"/>
  <c r="DF20" i="1"/>
  <c r="F20" i="1" s="1"/>
  <c r="G20" i="1" s="1"/>
  <c r="DF78" i="1" l="1"/>
  <c r="F24" i="1"/>
  <c r="G24" i="1" s="1"/>
  <c r="F64" i="1"/>
  <c r="G64" i="1" s="1"/>
  <c r="F56" i="1"/>
  <c r="G56" i="1" s="1"/>
  <c r="F38" i="1"/>
  <c r="G38" i="1" s="1"/>
  <c r="F22" i="1"/>
  <c r="G22" i="1" s="1"/>
  <c r="F52" i="1"/>
  <c r="G52" i="1" s="1"/>
  <c r="F101" i="1"/>
  <c r="G101" i="1" s="1"/>
  <c r="F94" i="1"/>
  <c r="G94" i="1" s="1"/>
  <c r="F91" i="1"/>
  <c r="G91" i="1" s="1"/>
  <c r="F50" i="1"/>
  <c r="G50" i="1" s="1"/>
  <c r="F96" i="1"/>
  <c r="G96" i="1" s="1"/>
  <c r="F44" i="1"/>
  <c r="G44" i="1" s="1"/>
  <c r="G95" i="1"/>
  <c r="H54" i="1"/>
  <c r="DF54" i="1"/>
  <c r="F54" i="1" s="1"/>
  <c r="G54" i="1" s="1"/>
  <c r="DF196" i="1"/>
  <c r="F196" i="1" s="1"/>
  <c r="G196" i="1" s="1"/>
  <c r="H196" i="1"/>
  <c r="DE46" i="1"/>
  <c r="DF46" i="1"/>
  <c r="F46" i="1" s="1"/>
  <c r="G46" i="1" s="1"/>
  <c r="H224" i="1"/>
  <c r="DF224" i="1"/>
  <c r="F224" i="1" s="1"/>
  <c r="G224" i="1" s="1"/>
  <c r="H110" i="1"/>
  <c r="DF110" i="1"/>
  <c r="F110" i="1" s="1"/>
  <c r="G110" i="1" s="1"/>
  <c r="H75" i="1"/>
  <c r="DF75" i="1"/>
  <c r="F75" i="1" s="1"/>
  <c r="G75" i="1" s="1"/>
  <c r="H169" i="1"/>
  <c r="DF169" i="1"/>
  <c r="F169" i="1" s="1"/>
  <c r="G169" i="1" s="1"/>
  <c r="DF239" i="1"/>
  <c r="F239" i="1" s="1"/>
  <c r="G239" i="1" s="1"/>
  <c r="H209" i="1"/>
  <c r="DF209" i="1"/>
  <c r="F209" i="1" s="1"/>
  <c r="G209" i="1" s="1"/>
  <c r="H261" i="1"/>
  <c r="DF261" i="1"/>
  <c r="F261" i="1" s="1"/>
  <c r="G261" i="1" s="1"/>
  <c r="H108" i="1"/>
  <c r="DF108" i="1"/>
  <c r="F108" i="1" s="1"/>
  <c r="G108" i="1" s="1"/>
  <c r="H271" i="1"/>
  <c r="DF271" i="1"/>
  <c r="F271" i="1" s="1"/>
  <c r="G271" i="1" s="1"/>
  <c r="H267" i="1"/>
  <c r="DF267" i="1"/>
  <c r="F267" i="1" s="1"/>
  <c r="G267" i="1" s="1"/>
  <c r="DE166" i="1"/>
  <c r="DF166" i="1"/>
  <c r="F166" i="1" s="1"/>
  <c r="G166" i="1" s="1"/>
  <c r="DE167" i="1"/>
  <c r="DF167" i="1"/>
  <c r="F167" i="1" s="1"/>
  <c r="G167" i="1" s="1"/>
  <c r="DF231" i="1"/>
  <c r="F231" i="1" s="1"/>
  <c r="G231" i="1" s="1"/>
  <c r="H231" i="1"/>
  <c r="H252" i="1"/>
  <c r="DF252" i="1"/>
  <c r="F252" i="1" s="1"/>
  <c r="G252" i="1" s="1"/>
  <c r="H181" i="1"/>
  <c r="DF181" i="1"/>
  <c r="F181" i="1" s="1"/>
  <c r="G181" i="1" s="1"/>
  <c r="H127" i="1"/>
  <c r="DF127" i="1"/>
  <c r="F127" i="1" s="1"/>
  <c r="G127" i="1" s="1"/>
  <c r="H213" i="1"/>
  <c r="DF213" i="1"/>
  <c r="F213" i="1" s="1"/>
  <c r="G213" i="1" s="1"/>
  <c r="H100" i="1"/>
  <c r="DF100" i="1"/>
  <c r="DF83" i="1"/>
  <c r="F83" i="1" s="1"/>
  <c r="G83" i="1" s="1"/>
  <c r="H83" i="1"/>
  <c r="DG49" i="1"/>
  <c r="F78" i="1" l="1"/>
  <c r="G78" i="1" s="1"/>
  <c r="F100" i="1"/>
  <c r="G10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Alasdair Noble</author>
    <author>User</author>
    <author>Windows User</author>
    <author>Richard Jenkins</author>
    <author/>
  </authors>
  <commentList>
    <comment ref="I4" authorId="0" shapeId="0" xr:uid="{00000000-0006-0000-0000-000001000000}">
      <text>
        <r>
          <rPr>
            <b/>
            <sz val="9"/>
            <color indexed="81"/>
            <rFont val="Tahoma"/>
            <family val="2"/>
          </rPr>
          <t>Alasdair Noble:</t>
        </r>
        <r>
          <rPr>
            <sz val="9"/>
            <color indexed="81"/>
            <rFont val="Tahoma"/>
            <family val="2"/>
          </rPr>
          <t xml:space="preserve">
Yellow background indicates last full measure is between 8 and 10 years ago, and hence soon needs to be updated.
Red background means the last full measure is more than 10 years ago and hence is not valid.</t>
        </r>
      </text>
    </comment>
    <comment ref="X17" authorId="1" shapeId="0" xr:uid="{00000000-0006-0000-0000-000002000000}">
      <text>
        <r>
          <rPr>
            <b/>
            <sz val="9"/>
            <color indexed="81"/>
            <rFont val="Tahoma"/>
            <family val="2"/>
          </rPr>
          <t>User:</t>
        </r>
        <r>
          <rPr>
            <sz val="9"/>
            <color indexed="81"/>
            <rFont val="Tahoma"/>
            <family val="2"/>
          </rPr>
          <t xml:space="preserve">
Late resuction of sprit 15 kg</t>
        </r>
      </text>
    </comment>
    <comment ref="CL20" authorId="1" shapeId="0" xr:uid="{00000000-0006-0000-0000-000003000000}">
      <text>
        <r>
          <rPr>
            <b/>
            <sz val="9"/>
            <color indexed="81"/>
            <rFont val="Tahoma"/>
            <family val="2"/>
          </rPr>
          <t>User:</t>
        </r>
        <r>
          <rPr>
            <sz val="9"/>
            <color indexed="81"/>
            <rFont val="Tahoma"/>
            <family val="2"/>
          </rPr>
          <t xml:space="preserve">
B2G 2018 validated Scr2
</t>
        </r>
      </text>
    </comment>
    <comment ref="X28" authorId="2" shapeId="0" xr:uid="{00000000-0006-0000-0000-000004000000}">
      <text>
        <r>
          <rPr>
            <b/>
            <sz val="9"/>
            <color indexed="81"/>
            <rFont val="Tahoma"/>
            <family val="2"/>
          </rPr>
          <t>Windows User:</t>
        </r>
        <r>
          <rPr>
            <sz val="9"/>
            <color indexed="81"/>
            <rFont val="Tahoma"/>
            <family val="2"/>
          </rPr>
          <t xml:space="preserve">
No 2 Jib 11Mar21  RJ
25 Kg added RJ 4/08/2022
</t>
        </r>
      </text>
    </comment>
    <comment ref="AS28" authorId="2" shapeId="0" xr:uid="{00000000-0006-0000-0000-000005000000}">
      <text>
        <r>
          <rPr>
            <b/>
            <sz val="9"/>
            <color indexed="81"/>
            <rFont val="Tahoma"/>
            <family val="2"/>
          </rPr>
          <t>Windows User:</t>
        </r>
        <r>
          <rPr>
            <sz val="9"/>
            <color indexed="81"/>
            <rFont val="Tahoma"/>
            <family val="2"/>
          </rPr>
          <t xml:space="preserve">
Parrabellum's sails for SHC 7/10/2021
</t>
        </r>
      </text>
    </comment>
    <comment ref="X29" authorId="1" shapeId="0" xr:uid="{00000000-0006-0000-0000-000006000000}">
      <text>
        <r>
          <rPr>
            <b/>
            <sz val="9"/>
            <color indexed="81"/>
            <rFont val="Tahoma"/>
            <family val="2"/>
          </rPr>
          <t xml:space="preserve">User:less 12 l fuel at weighing, plus 21 cboard not on boat.
</t>
        </r>
        <r>
          <rPr>
            <sz val="9"/>
            <color indexed="81"/>
            <rFont val="Tahoma"/>
            <family val="2"/>
          </rPr>
          <t xml:space="preserve">
</t>
        </r>
      </text>
    </comment>
    <comment ref="Y30" authorId="3" shapeId="0" xr:uid="{00000000-0006-0000-0000-000007000000}">
      <text>
        <r>
          <rPr>
            <b/>
            <sz val="9"/>
            <color indexed="81"/>
            <rFont val="Tahoma"/>
            <family val="2"/>
          </rPr>
          <t>Richard Jenkins:</t>
        </r>
        <r>
          <rPr>
            <sz val="9"/>
            <color indexed="81"/>
            <rFont val="Tahoma"/>
            <family val="2"/>
          </rPr>
          <t xml:space="preserve">
Cat 3 Safety equip
</t>
        </r>
      </text>
    </comment>
    <comment ref="I31" authorId="2" shapeId="0" xr:uid="{00000000-0006-0000-0000-000008000000}">
      <text>
        <r>
          <rPr>
            <b/>
            <sz val="9"/>
            <color indexed="81"/>
            <rFont val="Tahoma"/>
            <family val="2"/>
          </rPr>
          <t>Windows User:</t>
        </r>
        <r>
          <rPr>
            <sz val="9"/>
            <color indexed="81"/>
            <rFont val="Tahoma"/>
            <family val="2"/>
          </rPr>
          <t xml:space="preserve">
Weight accepted from paperwork after mods.RJ 6/10/2022
</t>
        </r>
      </text>
    </comment>
    <comment ref="Q38" authorId="1" shapeId="0" xr:uid="{00000000-0006-0000-0000-000009000000}">
      <text>
        <r>
          <rPr>
            <b/>
            <sz val="9"/>
            <color indexed="81"/>
            <rFont val="Tahoma"/>
            <family val="2"/>
          </rPr>
          <t>User:</t>
        </r>
        <r>
          <rPr>
            <sz val="9"/>
            <color indexed="81"/>
            <rFont val="Tahoma"/>
            <family val="2"/>
          </rPr>
          <t xml:space="preserve">
Owner chopped stern off</t>
        </r>
      </text>
    </comment>
    <comment ref="I50" authorId="2" shapeId="0" xr:uid="{00000000-0006-0000-0000-00000A000000}">
      <text>
        <r>
          <rPr>
            <b/>
            <sz val="9"/>
            <color indexed="81"/>
            <rFont val="Tahoma"/>
            <family val="2"/>
          </rPr>
          <t>Windows User:</t>
        </r>
        <r>
          <rPr>
            <sz val="9"/>
            <color indexed="81"/>
            <rFont val="Tahoma"/>
            <family val="2"/>
          </rPr>
          <t xml:space="preserve">
Old sail measurements accepted
</t>
        </r>
      </text>
    </comment>
    <comment ref="CL59" authorId="1" shapeId="0" xr:uid="{00000000-0006-0000-0000-00000B000000}">
      <text>
        <r>
          <rPr>
            <b/>
            <sz val="9"/>
            <color indexed="81"/>
            <rFont val="Tahoma"/>
            <family val="2"/>
          </rPr>
          <t>User:</t>
        </r>
        <r>
          <rPr>
            <sz val="9"/>
            <color indexed="81"/>
            <rFont val="Tahoma"/>
            <family val="2"/>
          </rPr>
          <t xml:space="preserve">
B2G2018 scr 2 validated S beyer
11sep2019 to smallest screacher
</t>
        </r>
      </text>
    </comment>
    <comment ref="X64" authorId="1" shapeId="0" xr:uid="{00000000-0006-0000-0000-00000C000000}">
      <text>
        <r>
          <rPr>
            <b/>
            <sz val="9"/>
            <color indexed="81"/>
            <rFont val="Tahoma"/>
            <family val="2"/>
          </rPr>
          <t>User:</t>
        </r>
        <r>
          <rPr>
            <sz val="9"/>
            <color indexed="81"/>
            <rFont val="Tahoma"/>
            <family val="2"/>
          </rPr>
          <t xml:space="preserve">
Sandringham Nats reduce
</t>
        </r>
      </text>
    </comment>
    <comment ref="I66" authorId="2" shapeId="0" xr:uid="{00000000-0006-0000-0000-00000D000000}">
      <text>
        <r>
          <rPr>
            <b/>
            <sz val="9"/>
            <color indexed="81"/>
            <rFont val="Tahoma"/>
            <family val="2"/>
          </rPr>
          <t>Windows User:</t>
        </r>
        <r>
          <rPr>
            <sz val="9"/>
            <color indexed="81"/>
            <rFont val="Tahoma"/>
            <family val="2"/>
          </rPr>
          <t xml:space="preserve">
Weight Only
</t>
        </r>
      </text>
    </comment>
    <comment ref="X71" authorId="2" shapeId="0" xr:uid="{00000000-0006-0000-0000-00000E000000}">
      <text>
        <r>
          <rPr>
            <b/>
            <sz val="9"/>
            <color indexed="81"/>
            <rFont val="Tahoma"/>
            <family val="2"/>
          </rPr>
          <t>Windows User:</t>
        </r>
        <r>
          <rPr>
            <sz val="9"/>
            <color indexed="81"/>
            <rFont val="Tahoma"/>
            <family val="2"/>
          </rPr>
          <t xml:space="preserve">
Removal of barrety and engine change5/10/22
</t>
        </r>
      </text>
    </comment>
    <comment ref="J81" authorId="4" shapeId="0" xr:uid="{00000000-0006-0000-0000-00000F000000}">
      <text>
        <r>
          <rPr>
            <sz val="10"/>
            <rFont val="Arial"/>
            <family val="2"/>
          </rPr>
          <t xml:space="preserve">10-Sep-06 davidg
Jib remeasured 14JAN06
--------------------------
</t>
        </r>
      </text>
    </comment>
    <comment ref="E84" authorId="2" shapeId="0" xr:uid="{00000000-0006-0000-0000-000010000000}">
      <text>
        <r>
          <rPr>
            <b/>
            <sz val="9"/>
            <color indexed="81"/>
            <rFont val="Tahoma"/>
            <family val="2"/>
          </rPr>
          <t>Windows User:</t>
        </r>
        <r>
          <rPr>
            <sz val="9"/>
            <color indexed="81"/>
            <rFont val="Tahoma"/>
            <family val="2"/>
          </rPr>
          <t xml:space="preserve">
New owner 9/2020
</t>
        </r>
      </text>
    </comment>
    <comment ref="X85" authorId="1" shapeId="0" xr:uid="{00000000-0006-0000-0000-000011000000}">
      <text>
        <r>
          <rPr>
            <b/>
            <sz val="9"/>
            <color indexed="81"/>
            <rFont val="Tahoma"/>
            <family val="2"/>
          </rPr>
          <t>User:</t>
        </r>
        <r>
          <rPr>
            <sz val="9"/>
            <color indexed="81"/>
            <rFont val="Tahoma"/>
            <family val="2"/>
          </rPr>
          <t xml:space="preserve">
Reduction by C Meredith
</t>
        </r>
      </text>
    </comment>
    <comment ref="J89" authorId="4" shapeId="0" xr:uid="{00000000-0006-0000-0000-000012000000}">
      <text>
        <r>
          <rPr>
            <sz val="10"/>
            <rFont val="Arial"/>
            <family val="2"/>
          </rPr>
          <t>10-Sep-06 davidg
Modified main not verified ?
--------------------------
10-Sep-06 davidg
Jib to be replaced Sep06
--------------------------
10-Sep-06 davidg
Rudder modified- Weight change ??
-----------
16-Nov-06 Jib (J02) measured &amp; 
Boat reweighed
----------------
30-Dec-06 New GM Main, Rope rigging
reduced weight by 10kg</t>
        </r>
      </text>
    </comment>
    <comment ref="BH91" authorId="2" shapeId="0" xr:uid="{00000000-0006-0000-0000-000013000000}">
      <text>
        <r>
          <rPr>
            <b/>
            <sz val="9"/>
            <color indexed="81"/>
            <rFont val="Tahoma"/>
            <family val="2"/>
          </rPr>
          <t>Windows User:</t>
        </r>
        <r>
          <rPr>
            <sz val="9"/>
            <color indexed="81"/>
            <rFont val="Tahoma"/>
            <family val="2"/>
          </rPr>
          <t xml:space="preserve">
3 headsails this is largest
</t>
        </r>
      </text>
    </comment>
    <comment ref="X96" authorId="2" shapeId="0" xr:uid="{00000000-0006-0000-0000-000014000000}">
      <text>
        <r>
          <rPr>
            <b/>
            <sz val="9"/>
            <color indexed="81"/>
            <rFont val="Tahoma"/>
            <family val="2"/>
          </rPr>
          <t>Windows User:</t>
        </r>
        <r>
          <rPr>
            <sz val="9"/>
            <color indexed="81"/>
            <rFont val="Tahoma"/>
            <family val="2"/>
          </rPr>
          <t xml:space="preserve">
40kg deducted for spinnaker not carried.
15/03/2021 RJ</t>
        </r>
      </text>
    </comment>
    <comment ref="J98" authorId="4" shapeId="0" xr:uid="{00000000-0006-0000-0000-000015000000}">
      <text>
        <r>
          <rPr>
            <sz val="10"/>
            <rFont val="Arial"/>
            <family val="2"/>
          </rPr>
          <t>Geoff Cruse:
20 sept 06 New genoa</t>
        </r>
      </text>
    </comment>
    <comment ref="I101" authorId="2" shapeId="0" xr:uid="{00000000-0006-0000-0000-000016000000}">
      <text>
        <r>
          <rPr>
            <b/>
            <sz val="9"/>
            <color indexed="81"/>
            <rFont val="Tahoma"/>
            <family val="2"/>
          </rPr>
          <t>Windows User:</t>
        </r>
        <r>
          <rPr>
            <sz val="9"/>
            <color indexed="81"/>
            <rFont val="Tahoma"/>
            <family val="2"/>
          </rPr>
          <t xml:space="preserve">
Weight only</t>
        </r>
      </text>
    </comment>
    <comment ref="J101" authorId="2" shapeId="0" xr:uid="{00000000-0006-0000-0000-000017000000}">
      <text>
        <r>
          <rPr>
            <b/>
            <sz val="9"/>
            <color indexed="81"/>
            <rFont val="Tahoma"/>
            <family val="2"/>
          </rPr>
          <t>Windows User:</t>
        </r>
        <r>
          <rPr>
            <sz val="9"/>
            <color indexed="81"/>
            <rFont val="Tahoma"/>
            <family val="2"/>
          </rPr>
          <t xml:space="preserve">
Saxby midgirth accepted
</t>
        </r>
      </text>
    </comment>
    <comment ref="X101" authorId="2" shapeId="0" xr:uid="{00000000-0006-0000-0000-000018000000}">
      <text>
        <r>
          <rPr>
            <b/>
            <sz val="9"/>
            <color indexed="81"/>
            <rFont val="Tahoma"/>
            <family val="2"/>
          </rPr>
          <t>Windows User:</t>
        </r>
        <r>
          <rPr>
            <sz val="9"/>
            <color indexed="81"/>
            <rFont val="Tahoma"/>
            <family val="2"/>
          </rPr>
          <t xml:space="preserve">
 small sails (30kg) added RJ 17/01/2022.
New engine 29kg addedRJ 3/08/2022
</t>
        </r>
      </text>
    </comment>
    <comment ref="J104" authorId="4" shapeId="0" xr:uid="{00000000-0006-0000-0000-000019000000}">
      <text>
        <r>
          <rPr>
            <sz val="10"/>
            <rFont val="Arial"/>
            <family val="2"/>
          </rPr>
          <t>17-Jan-07 geoffrey
Reweighed by R. Jenkins (3748) WE 23
--------------------------</t>
        </r>
      </text>
    </comment>
    <comment ref="X113" authorId="2" shapeId="0" xr:uid="{00000000-0006-0000-0000-00001A000000}">
      <text>
        <r>
          <rPr>
            <b/>
            <sz val="9"/>
            <color indexed="81"/>
            <rFont val="Tahoma"/>
            <family val="2"/>
          </rPr>
          <t>Windows User:</t>
        </r>
        <r>
          <rPr>
            <sz val="9"/>
            <color indexed="81"/>
            <rFont val="Tahoma"/>
            <family val="2"/>
          </rPr>
          <t xml:space="preserve">
98kg weight mods accepted. </t>
        </r>
      </text>
    </comment>
    <comment ref="J114" authorId="4" shapeId="0" xr:uid="{00000000-0006-0000-0000-00001B000000}">
      <text>
        <r>
          <rPr>
            <sz val="10"/>
            <rFont val="Arial"/>
            <family val="2"/>
          </rPr>
          <t>10-Sep-06 davidg
Sails remeasured JAN06
--------------------------</t>
        </r>
      </text>
    </comment>
    <comment ref="BI116" authorId="1" shapeId="0" xr:uid="{00000000-0006-0000-0000-00001C000000}">
      <text>
        <r>
          <rPr>
            <b/>
            <sz val="9"/>
            <color indexed="81"/>
            <rFont val="Tahoma"/>
            <family val="2"/>
          </rPr>
          <t>User:</t>
        </r>
        <r>
          <rPr>
            <sz val="9"/>
            <color indexed="81"/>
            <rFont val="Tahoma"/>
            <family val="2"/>
          </rPr>
          <t xml:space="preserve">
Spreader hollow reduce by .25</t>
        </r>
      </text>
    </comment>
    <comment ref="CE117" authorId="1" shapeId="0" xr:uid="{00000000-0006-0000-0000-00001D000000}">
      <text>
        <r>
          <rPr>
            <b/>
            <sz val="9"/>
            <color indexed="81"/>
            <rFont val="Tahoma"/>
            <family val="2"/>
          </rPr>
          <t>User:</t>
        </r>
        <r>
          <rPr>
            <sz val="9"/>
            <color indexed="81"/>
            <rFont val="Tahoma"/>
            <family val="2"/>
          </rPr>
          <t xml:space="preserve">
Smaller kite valid 16/1/18
Area 145.2
 </t>
        </r>
      </text>
    </comment>
    <comment ref="AV119" authorId="1" shapeId="0" xr:uid="{00000000-0006-0000-0000-00001E000000}">
      <text>
        <r>
          <rPr>
            <b/>
            <sz val="9"/>
            <color indexed="81"/>
            <rFont val="Tahoma"/>
            <family val="2"/>
          </rPr>
          <t>User:</t>
        </r>
        <r>
          <rPr>
            <sz val="9"/>
            <color indexed="81"/>
            <rFont val="Tahoma"/>
            <family val="2"/>
          </rPr>
          <t xml:space="preserve">
Formula added 2.46 manually sweeper
</t>
        </r>
      </text>
    </comment>
    <comment ref="AW119" authorId="1" shapeId="0" xr:uid="{00000000-0006-0000-0000-00001F000000}">
      <text>
        <r>
          <rPr>
            <b/>
            <sz val="9"/>
            <color indexed="81"/>
            <rFont val="Tahoma"/>
            <family val="2"/>
          </rPr>
          <t>User:</t>
        </r>
        <r>
          <rPr>
            <sz val="9"/>
            <color indexed="81"/>
            <rFont val="Tahoma"/>
            <family val="2"/>
          </rPr>
          <t xml:space="preserve">
Decksweeper addition according to S. Beyer diagram 24/9/17
</t>
        </r>
      </text>
    </comment>
    <comment ref="X121" authorId="1" shapeId="0" xr:uid="{00000000-0006-0000-0000-000020000000}">
      <text>
        <r>
          <rPr>
            <b/>
            <sz val="9"/>
            <color indexed="81"/>
            <rFont val="Tahoma"/>
            <family val="2"/>
          </rPr>
          <t>User:</t>
        </r>
        <r>
          <rPr>
            <sz val="9"/>
            <color indexed="81"/>
            <rFont val="Tahoma"/>
            <family val="2"/>
          </rPr>
          <t xml:space="preserve">
Declared motor swap plus 7 kg</t>
        </r>
      </text>
    </comment>
    <comment ref="X123" authorId="1" shapeId="0" xr:uid="{00000000-0006-0000-0000-000021000000}">
      <text>
        <r>
          <rPr>
            <b/>
            <sz val="9"/>
            <color indexed="81"/>
            <rFont val="Tahoma"/>
            <family val="2"/>
          </rPr>
          <t>User:</t>
        </r>
        <r>
          <rPr>
            <sz val="9"/>
            <color indexed="81"/>
            <rFont val="Tahoma"/>
            <family val="2"/>
          </rPr>
          <t xml:space="preserve">
C Meredith reduction note
</t>
        </r>
      </text>
    </comment>
    <comment ref="X124" authorId="2" shapeId="0" xr:uid="{00000000-0006-0000-0000-000022000000}">
      <text>
        <r>
          <rPr>
            <b/>
            <sz val="9"/>
            <color indexed="81"/>
            <rFont val="Tahoma"/>
            <family val="2"/>
          </rPr>
          <t>Windows User:</t>
        </r>
        <r>
          <rPr>
            <sz val="9"/>
            <color indexed="81"/>
            <rFont val="Tahoma"/>
            <family val="2"/>
          </rPr>
          <t xml:space="preserve">
Re-weigh recommended due to wet boat this weighing.
</t>
        </r>
      </text>
    </comment>
    <comment ref="X217" authorId="1" shapeId="0" xr:uid="{00000000-0006-0000-0000-000023000000}">
      <text>
        <r>
          <rPr>
            <b/>
            <sz val="9"/>
            <color indexed="81"/>
            <rFont val="Tahoma"/>
            <family val="2"/>
          </rPr>
          <t>User:</t>
        </r>
        <r>
          <rPr>
            <sz val="9"/>
            <color indexed="81"/>
            <rFont val="Tahoma"/>
            <family val="2"/>
          </rPr>
          <t xml:space="preserve">
Reduced weight 23 kg Dale Wangi remove big screacher. </t>
        </r>
      </text>
    </comment>
    <comment ref="J253" authorId="4" shapeId="0" xr:uid="{00000000-0006-0000-0000-000024000000}">
      <text>
        <r>
          <rPr>
            <sz val="10"/>
            <rFont val="Arial"/>
            <family val="2"/>
          </rPr>
          <t>21-Sep-07 geoffrey
--------------------------
21-Sep-07 geoffrey
Headsail area has been calculated seperately and the LL used for AR calcs only
--------------------------</t>
        </r>
      </text>
    </comment>
    <comment ref="J257" authorId="4" shapeId="0" xr:uid="{00000000-0006-0000-0000-000025000000}">
      <text>
        <r>
          <rPr>
            <sz val="10"/>
            <rFont val="Arial"/>
            <family val="2"/>
          </rPr>
          <t>10-Sep-06 davidg
Jib remeasured 14JAN06
--------------------------</t>
        </r>
      </text>
    </comment>
    <comment ref="J291" authorId="4" shapeId="0" xr:uid="{00000000-0006-0000-0000-000026000000}">
      <text>
        <r>
          <rPr>
            <sz val="10"/>
            <rFont val="Arial"/>
            <family val="2"/>
          </rPr>
          <t>17-Jan-07 geoffrey
--------------------------
28-Sep-07 geoffrey
--------------------------</t>
        </r>
      </text>
    </comment>
    <comment ref="X299" authorId="1" shapeId="0" xr:uid="{00000000-0006-0000-0000-000027000000}">
      <text>
        <r>
          <rPr>
            <b/>
            <sz val="9"/>
            <color indexed="81"/>
            <rFont val="Tahoma"/>
            <family val="2"/>
          </rPr>
          <t>User:</t>
        </r>
        <r>
          <rPr>
            <sz val="9"/>
            <color indexed="81"/>
            <rFont val="Tahoma"/>
            <family val="2"/>
          </rPr>
          <t xml:space="preserve">
Rudder surgery reduced by 14.5 kg
</t>
        </r>
      </text>
    </comment>
    <comment ref="AV299" authorId="1" shapeId="0" xr:uid="{00000000-0006-0000-0000-000028000000}">
      <text>
        <r>
          <rPr>
            <b/>
            <sz val="9"/>
            <color indexed="81"/>
            <rFont val="Tahoma"/>
            <family val="2"/>
          </rPr>
          <t>User:</t>
        </r>
        <r>
          <rPr>
            <sz val="9"/>
            <color indexed="81"/>
            <rFont val="Tahoma"/>
            <family val="2"/>
          </rPr>
          <t xml:space="preserve">
Manually added 2.4 for sweeper
+ triangle below 16/10/18</t>
        </r>
      </text>
    </comment>
    <comment ref="AW299" authorId="1" shapeId="0" xr:uid="{00000000-0006-0000-0000-000029000000}">
      <text>
        <r>
          <rPr>
            <b/>
            <sz val="9"/>
            <color indexed="81"/>
            <rFont val="Tahoma"/>
            <family val="2"/>
          </rPr>
          <t>User:</t>
        </r>
        <r>
          <rPr>
            <sz val="9"/>
            <color indexed="81"/>
            <rFont val="Tahoma"/>
            <family val="2"/>
          </rPr>
          <t xml:space="preserve">
Measured S. Beyer 7/8/18</t>
        </r>
      </text>
    </comment>
    <comment ref="J303" authorId="4" shapeId="0" xr:uid="{00000000-0006-0000-0000-00002A000000}">
      <text>
        <r>
          <rPr>
            <sz val="10"/>
            <rFont val="Arial"/>
            <family val="2"/>
          </rPr>
          <t>28-Sep-07 geoffrey
--------------------------</t>
        </r>
      </text>
    </comment>
    <comment ref="J309" authorId="4" shapeId="0" xr:uid="{00000000-0006-0000-0000-00002B000000}">
      <text>
        <r>
          <rPr>
            <sz val="10"/>
            <rFont val="Arial"/>
            <family val="2"/>
          </rPr>
          <t>10-Sep-06 davidg
reweighed 14JAN06
--------------------------
31-Jan-08 geoffrey
22 Jan 08 new mainsail
--------------------------</t>
        </r>
      </text>
    </comment>
    <comment ref="J311" authorId="4" shapeId="0" xr:uid="{00000000-0006-0000-0000-00002C000000}">
      <text>
        <r>
          <rPr>
            <sz val="10"/>
            <rFont val="Arial"/>
            <family val="2"/>
          </rPr>
          <t>Geoff Cruse:
6 Oct 06 Changes to main and genoa</t>
        </r>
      </text>
    </comment>
    <comment ref="CL314" authorId="1" shapeId="0" xr:uid="{00000000-0006-0000-0000-00002D000000}">
      <text>
        <r>
          <rPr>
            <b/>
            <sz val="9"/>
            <color indexed="81"/>
            <rFont val="Tahoma"/>
            <family val="2"/>
          </rPr>
          <t>User:</t>
        </r>
        <r>
          <rPr>
            <sz val="9"/>
            <color indexed="81"/>
            <rFont val="Tahoma"/>
            <family val="2"/>
          </rPr>
          <t xml:space="preserve">
MBMR change to Scr 2</t>
        </r>
      </text>
    </comment>
  </commentList>
</comments>
</file>

<file path=xl/sharedStrings.xml><?xml version="1.0" encoding="utf-8"?>
<sst xmlns="http://schemas.openxmlformats.org/spreadsheetml/2006/main" count="3503" uniqueCount="1120">
  <si>
    <t>OMR Rating System
 Version 8.00 (2016)</t>
  </si>
  <si>
    <t xml:space="preserve">     User Agreement: By using this spreadsheet or the data contained therein in any manner, the user agrees with the following terms and conditions: Copyright: ©This spreadsheet and the OMR rating system was developed by club officers of MYCQ (inc) and copyright is claimed by MYCQ (inc). The user acknowledges this copyright. Acknowledgement: The user agrees to acknowledge MYCQ (inc) for its role in developing this spreadsheet and the OMR rating system whenever the user reports or publishes any of the contents or race results or vessel ratings based in whole or in part on data from this spreadsheet or copies thereof.</t>
  </si>
  <si>
    <t>Basic Information</t>
  </si>
  <si>
    <t>Length</t>
  </si>
  <si>
    <t>Weight</t>
  </si>
  <si>
    <t>Drag / Lift Modifying Factors</t>
  </si>
  <si>
    <t>Mainsail</t>
  </si>
  <si>
    <t>Mizzen / Second Main</t>
  </si>
  <si>
    <t>Headsail</t>
  </si>
  <si>
    <t>Staysail</t>
  </si>
  <si>
    <t>Drifter</t>
  </si>
  <si>
    <t>Largest Spinnaker</t>
  </si>
  <si>
    <t>Screacher</t>
  </si>
  <si>
    <t>Efficiencies / Rated Areas of Sails</t>
  </si>
  <si>
    <t>Sail Plan</t>
  </si>
  <si>
    <t>RSA Component Calculations</t>
  </si>
  <si>
    <t>Rated Sail Area</t>
  </si>
  <si>
    <t>Event</t>
  </si>
  <si>
    <t>Boat Name</t>
  </si>
  <si>
    <t>Design</t>
  </si>
  <si>
    <t>Owner Name</t>
  </si>
  <si>
    <t>OMR
Rating</t>
  </si>
  <si>
    <t>Configuration Allowable</t>
  </si>
  <si>
    <t>Last Full Measure Date</t>
  </si>
  <si>
    <t>Latest Update</t>
  </si>
  <si>
    <t>Measurer</t>
  </si>
  <si>
    <t>Rating Officer</t>
  </si>
  <si>
    <t>Comment (Updates Made, Items to Check etc)</t>
  </si>
  <si>
    <t>Boat Type</t>
  </si>
  <si>
    <t>Sub Type</t>
  </si>
  <si>
    <t>BOA Beam 
Overall</t>
  </si>
  <si>
    <t>LOA (Main Hull)</t>
  </si>
  <si>
    <t>LOAA (Ama)</t>
  </si>
  <si>
    <t>HCE</t>
  </si>
  <si>
    <t>FOC</t>
  </si>
  <si>
    <t>AOC</t>
  </si>
  <si>
    <t>RL
Rated length</t>
  </si>
  <si>
    <t>RF
Length Factor</t>
  </si>
  <si>
    <t>WM</t>
  </si>
  <si>
    <t>WE</t>
  </si>
  <si>
    <t>WCD Crew Weight Declared</t>
  </si>
  <si>
    <t>NC Number of Crew</t>
  </si>
  <si>
    <t>WS</t>
  </si>
  <si>
    <t>RW</t>
  </si>
  <si>
    <t>DB/CB/Fin Factor</t>
  </si>
  <si>
    <t>Foil Factor</t>
  </si>
  <si>
    <t>Prop
Factor</t>
  </si>
  <si>
    <t>DLF Drag/Lift
Factor</t>
  </si>
  <si>
    <t>ML1</t>
  </si>
  <si>
    <t>ML2</t>
  </si>
  <si>
    <t>LPM</t>
  </si>
  <si>
    <t>HB</t>
  </si>
  <si>
    <t>RDM</t>
  </si>
  <si>
    <t>P</t>
  </si>
  <si>
    <t>PR</t>
  </si>
  <si>
    <t>E</t>
  </si>
  <si>
    <t>ER</t>
  </si>
  <si>
    <t>MC</t>
  </si>
  <si>
    <t>BATT</t>
  </si>
  <si>
    <t>Sail
ID#</t>
  </si>
  <si>
    <t>VLM</t>
  </si>
  <si>
    <t>MAM</t>
  </si>
  <si>
    <t>AM Area
Main</t>
  </si>
  <si>
    <t>RSAMz
Mizzen</t>
  </si>
  <si>
    <t>RSA2M
Main #2</t>
  </si>
  <si>
    <t>LL</t>
  </si>
  <si>
    <t>LPG</t>
  </si>
  <si>
    <t>FG</t>
  </si>
  <si>
    <t>FRG</t>
  </si>
  <si>
    <t>LG1</t>
  </si>
  <si>
    <t>LG2</t>
  </si>
  <si>
    <t>HG
Head
Board</t>
  </si>
  <si>
    <t>LRG
Leech
Round</t>
  </si>
  <si>
    <t>LLRG
Luff
Round</t>
  </si>
  <si>
    <t>AG Area Genoa</t>
  </si>
  <si>
    <t>LLs</t>
  </si>
  <si>
    <t>LPs</t>
  </si>
  <si>
    <t>Fs</t>
  </si>
  <si>
    <t>FRs</t>
  </si>
  <si>
    <t>Ls</t>
  </si>
  <si>
    <t>LRs</t>
  </si>
  <si>
    <t>LLRs</t>
  </si>
  <si>
    <t>AD Area Staysail</t>
  </si>
  <si>
    <t>LLd</t>
  </si>
  <si>
    <t>LPd</t>
  </si>
  <si>
    <t>FD</t>
  </si>
  <si>
    <t>FRD</t>
  </si>
  <si>
    <t>LCHD</t>
  </si>
  <si>
    <t>LRD</t>
  </si>
  <si>
    <t>LLRD</t>
  </si>
  <si>
    <t>AD Area Drifter</t>
  </si>
  <si>
    <t>SF</t>
  </si>
  <si>
    <t>SL1</t>
  </si>
  <si>
    <t>SL2</t>
  </si>
  <si>
    <t>SMG</t>
  </si>
  <si>
    <t>PCSMG SMG %</t>
  </si>
  <si>
    <t>Sail Colour</t>
  </si>
  <si>
    <t>MSASp Area
Spin</t>
  </si>
  <si>
    <t>SCRF</t>
  </si>
  <si>
    <t>ScrL1</t>
  </si>
  <si>
    <t>ScrL2</t>
  </si>
  <si>
    <t>ScrMG</t>
  </si>
  <si>
    <t>PCSCRMG ScrMG %</t>
  </si>
  <si>
    <t>MSASc Area Screacher</t>
  </si>
  <si>
    <t>EFM
Main
Effic'y</t>
  </si>
  <si>
    <t>RSAM
Main</t>
  </si>
  <si>
    <t>EFG
Genoa
Effic'y</t>
  </si>
  <si>
    <t>RSAG
Genoa</t>
  </si>
  <si>
    <t>ZVAL
Effic</t>
  </si>
  <si>
    <t>EFS
Stays'l
Effic'y</t>
  </si>
  <si>
    <t>RSASt
Stays'l</t>
  </si>
  <si>
    <t>EFD
Drifter
Effic'y</t>
  </si>
  <si>
    <t>RSAD
Drifter</t>
  </si>
  <si>
    <t>FLSCR Valid
Scrch</t>
  </si>
  <si>
    <t>FLSPI Valid
Spinn</t>
  </si>
  <si>
    <t>Sail Plan Code</t>
  </si>
  <si>
    <t>RAMG M&amp;G</t>
  </si>
  <si>
    <t>RASPO Spin Only</t>
  </si>
  <si>
    <t>RASCO Scr Only</t>
  </si>
  <si>
    <t>RASPSC Spin 
with Scr</t>
  </si>
  <si>
    <t>RASCR Scr with Spin</t>
  </si>
  <si>
    <t>Offwind M&amp;G</t>
  </si>
  <si>
    <t xml:space="preserve">RSA </t>
  </si>
  <si>
    <t>Aeolus</t>
  </si>
  <si>
    <t>F 24</t>
  </si>
  <si>
    <t>G Bulka</t>
  </si>
  <si>
    <t>G Scott</t>
  </si>
  <si>
    <t>Tri</t>
  </si>
  <si>
    <t>Farrier</t>
  </si>
  <si>
    <t>Daggerboards</t>
  </si>
  <si>
    <t>None</t>
  </si>
  <si>
    <t>Out of Water</t>
  </si>
  <si>
    <t>Full</t>
  </si>
  <si>
    <t>Airplay</t>
  </si>
  <si>
    <t>Grainger Airplay</t>
  </si>
  <si>
    <t>David Renouf</t>
  </si>
  <si>
    <t>S. Barton</t>
  </si>
  <si>
    <t>Z.Peters</t>
  </si>
  <si>
    <t>Trail</t>
  </si>
  <si>
    <t>Akimbo</t>
  </si>
  <si>
    <t>Grainger MTB 920</t>
  </si>
  <si>
    <t>Rob Sherwood</t>
  </si>
  <si>
    <t>P Day</t>
  </si>
  <si>
    <t>R Sherwood</t>
  </si>
  <si>
    <t>MK1</t>
  </si>
  <si>
    <t>Aquila</t>
  </si>
  <si>
    <t>Pescott Whitehaven 11</t>
  </si>
  <si>
    <t>P Boyd</t>
  </si>
  <si>
    <t>G.Scott</t>
  </si>
  <si>
    <t>Cat</t>
  </si>
  <si>
    <t>YC241</t>
  </si>
  <si>
    <t>Aquilo II</t>
  </si>
  <si>
    <t>Farrier F82R</t>
  </si>
  <si>
    <t>P Hackett</t>
  </si>
  <si>
    <t>Swing C'Board</t>
  </si>
  <si>
    <t>Assassin</t>
  </si>
  <si>
    <t>Grainger GTR 8</t>
  </si>
  <si>
    <t>GT82</t>
  </si>
  <si>
    <t>Schionning G Force 15</t>
  </si>
  <si>
    <t>Allan Larkin</t>
  </si>
  <si>
    <t>Mike Hodges</t>
  </si>
  <si>
    <t>2xFeather/Fold</t>
  </si>
  <si>
    <t>RQ1001</t>
  </si>
  <si>
    <t>AYS Raider</t>
  </si>
  <si>
    <t>Grainger Raider</t>
  </si>
  <si>
    <t>Input</t>
  </si>
  <si>
    <t>Bare Essentials</t>
  </si>
  <si>
    <t>Grainger</t>
  </si>
  <si>
    <t>Tim Pepperell</t>
  </si>
  <si>
    <t>P. Barker</t>
  </si>
  <si>
    <t>Corsair Sprint 750</t>
  </si>
  <si>
    <t>S.Beyer</t>
  </si>
  <si>
    <t>Barefoot</t>
  </si>
  <si>
    <t>Warren Innes</t>
  </si>
  <si>
    <t>Shane Beyer</t>
  </si>
  <si>
    <t>BFC55</t>
  </si>
  <si>
    <t>Beans</t>
  </si>
  <si>
    <t>Windrush 600</t>
  </si>
  <si>
    <t>Steve Walter</t>
  </si>
  <si>
    <t>Shane Russell</t>
  </si>
  <si>
    <t>G scott</t>
  </si>
  <si>
    <t>Bigwave Rider</t>
  </si>
  <si>
    <t>Chamberlain</t>
  </si>
  <si>
    <t>Bruce Arms</t>
  </si>
  <si>
    <t>Bluey Zarzoff</t>
  </si>
  <si>
    <t>Peter Barron</t>
  </si>
  <si>
    <t>R Butler/S Barton</t>
  </si>
  <si>
    <t>G.E.Cruse</t>
  </si>
  <si>
    <t>BZ2</t>
  </si>
  <si>
    <t>Red</t>
  </si>
  <si>
    <t>Julian Griffiths</t>
  </si>
  <si>
    <t>Boom</t>
  </si>
  <si>
    <t xml:space="preserve">Farrier F22 </t>
  </si>
  <si>
    <t xml:space="preserve">P Steinhardt &amp; K Askew </t>
  </si>
  <si>
    <t>A. Noble</t>
  </si>
  <si>
    <t>J1</t>
  </si>
  <si>
    <t>Boss Racing</t>
  </si>
  <si>
    <t>Saxby</t>
  </si>
  <si>
    <t>Gary Saxby</t>
  </si>
  <si>
    <t>Botax</t>
  </si>
  <si>
    <t>Corsair Dash 750</t>
  </si>
  <si>
    <t>Stephen Barton</t>
  </si>
  <si>
    <t>Box Office</t>
  </si>
  <si>
    <t>Box Boat 8.5</t>
  </si>
  <si>
    <t>Wayne Bloomer</t>
  </si>
  <si>
    <t>P. Day</t>
  </si>
  <si>
    <t>Bullet Proof</t>
  </si>
  <si>
    <t>Schionning G Force</t>
  </si>
  <si>
    <t>Scott Gralow</t>
  </si>
  <si>
    <t>Bushranger</t>
  </si>
  <si>
    <t xml:space="preserve"> Farrier F-9A</t>
  </si>
  <si>
    <t>Peter Boyd</t>
  </si>
  <si>
    <t>G E Cruse</t>
  </si>
  <si>
    <t>Carbon Credit</t>
  </si>
  <si>
    <t>F32SRCX</t>
  </si>
  <si>
    <t>Peter Hawker</t>
  </si>
  <si>
    <t>Catalina</t>
  </si>
  <si>
    <t>Dale Low</t>
  </si>
  <si>
    <t>T Playne</t>
  </si>
  <si>
    <t>G E. Cruse</t>
  </si>
  <si>
    <t>Chillpill</t>
  </si>
  <si>
    <t>Coco</t>
  </si>
  <si>
    <t>Coco Loco</t>
  </si>
  <si>
    <t>Farrier F24</t>
  </si>
  <si>
    <t>M. Vincent</t>
  </si>
  <si>
    <t>3</t>
  </si>
  <si>
    <t>Cool Change</t>
  </si>
  <si>
    <t>Pescott</t>
  </si>
  <si>
    <t>Bob Critchley</t>
  </si>
  <si>
    <t>Crosshair</t>
  </si>
  <si>
    <t>Gerald Valk</t>
  </si>
  <si>
    <t>SA432</t>
  </si>
  <si>
    <t>Cut Snake</t>
  </si>
  <si>
    <t>M. Hodges</t>
  </si>
  <si>
    <t>Daylight Robbery</t>
  </si>
  <si>
    <t>Farrier F22</t>
  </si>
  <si>
    <t>G. Bulka</t>
  </si>
  <si>
    <t>54-M1</t>
  </si>
  <si>
    <t>Farrier F9RX</t>
  </si>
  <si>
    <t>G Cruse</t>
  </si>
  <si>
    <t>Earthling</t>
  </si>
  <si>
    <t xml:space="preserve">Young </t>
  </si>
  <si>
    <t>Glen Rutherford</t>
  </si>
  <si>
    <t>Fantasia</t>
  </si>
  <si>
    <t>Andrew Stransky</t>
  </si>
  <si>
    <t>Fifty-Fifty</t>
  </si>
  <si>
    <t xml:space="preserve">Corsair 28 </t>
  </si>
  <si>
    <t>Geoff Floyd</t>
  </si>
  <si>
    <t>C.Meredith</t>
  </si>
  <si>
    <t>Fleetwing</t>
  </si>
  <si>
    <t>Foxy</t>
  </si>
  <si>
    <t>Lynx 8.8</t>
  </si>
  <si>
    <t>Frassld</t>
  </si>
  <si>
    <t>Farrier F31</t>
  </si>
  <si>
    <t>Shaun Fishley</t>
  </si>
  <si>
    <t>George Bulka</t>
  </si>
  <si>
    <t>V4-2</t>
  </si>
  <si>
    <t>Free Spirit</t>
  </si>
  <si>
    <t>F-24</t>
  </si>
  <si>
    <t>Crowther Super Shockwave</t>
  </si>
  <si>
    <t>Geoff Cruse</t>
  </si>
  <si>
    <t>T. Playne</t>
  </si>
  <si>
    <t>M270</t>
  </si>
  <si>
    <t>Frequent Flyer</t>
  </si>
  <si>
    <t>Pescott Firefly</t>
  </si>
  <si>
    <t>Christopher Wren</t>
  </si>
  <si>
    <t>Goldfinger</t>
  </si>
  <si>
    <t>Gumphy</t>
  </si>
  <si>
    <t>Farrier F22 R</t>
  </si>
  <si>
    <t>Neville Mcelroy</t>
  </si>
  <si>
    <t>S.Barton</t>
  </si>
  <si>
    <t>155</t>
  </si>
  <si>
    <t>Happy Feet</t>
  </si>
  <si>
    <t>Arnie Duckworth Special</t>
  </si>
  <si>
    <t>Arnie Duckworth</t>
  </si>
  <si>
    <t>Mark Pescott</t>
  </si>
  <si>
    <t>Hasta La Vista</t>
  </si>
  <si>
    <t>Crow Spec 11</t>
  </si>
  <si>
    <t>009</t>
  </si>
  <si>
    <t>Hawkeye</t>
  </si>
  <si>
    <t xml:space="preserve"> Farrier F-9R</t>
  </si>
  <si>
    <t>P Hawker</t>
  </si>
  <si>
    <t>SA888</t>
  </si>
  <si>
    <t>Hobo</t>
  </si>
  <si>
    <t>Farrier Haines Hunter Tramp</t>
  </si>
  <si>
    <t>Peter Withington</t>
  </si>
  <si>
    <t>Hot Option</t>
  </si>
  <si>
    <t>Farrier F27</t>
  </si>
  <si>
    <t>Anthony Constance</t>
  </si>
  <si>
    <t>Jouvert</t>
  </si>
  <si>
    <t>Pescott Whitehaven 11.7</t>
  </si>
  <si>
    <t>Kavala</t>
  </si>
  <si>
    <t>David Ruffin</t>
  </si>
  <si>
    <t>Kestrel</t>
  </si>
  <si>
    <t>Jenkins Special</t>
  </si>
  <si>
    <t>Richard Jenkins</t>
  </si>
  <si>
    <t>La Dane</t>
  </si>
  <si>
    <t>Mashford 11.5</t>
  </si>
  <si>
    <t>Len Barnes</t>
  </si>
  <si>
    <t>R Jenkins</t>
  </si>
  <si>
    <t>1xFeather/Fold</t>
  </si>
  <si>
    <t>Lukim Yu</t>
  </si>
  <si>
    <t>Robin Ottowa</t>
  </si>
  <si>
    <t>S Russel</t>
  </si>
  <si>
    <t>Grainger 10</t>
  </si>
  <si>
    <t>B Wieland</t>
  </si>
  <si>
    <t>Mahal Bangria</t>
  </si>
  <si>
    <t>Peter Wellry</t>
  </si>
  <si>
    <t>Nacra 36</t>
  </si>
  <si>
    <t>Mango Moon</t>
  </si>
  <si>
    <t>Corsair 50</t>
  </si>
  <si>
    <t>Frank Coale</t>
  </si>
  <si>
    <t>Phil Day</t>
  </si>
  <si>
    <t>McMoggy</t>
  </si>
  <si>
    <t>Schionning Waterline 1350</t>
  </si>
  <si>
    <t>Alasdair Noble</t>
  </si>
  <si>
    <t>Medosa</t>
  </si>
  <si>
    <t>Wilderness 10.5</t>
  </si>
  <si>
    <t>B Smith</t>
  </si>
  <si>
    <t>YC555</t>
  </si>
  <si>
    <t>Midnight Rain</t>
  </si>
  <si>
    <t>Bill Ferguson</t>
  </si>
  <si>
    <t>Mistress</t>
  </si>
  <si>
    <t>Sprint 750</t>
  </si>
  <si>
    <t>Dennis Coleman</t>
  </si>
  <si>
    <t>Mojo</t>
  </si>
  <si>
    <t>Morticia</t>
  </si>
  <si>
    <t>Seacart 30</t>
  </si>
  <si>
    <t>Shaun Carrol</t>
  </si>
  <si>
    <t>Move It</t>
  </si>
  <si>
    <t>David Turton</t>
  </si>
  <si>
    <t>Mustang Sally</t>
  </si>
  <si>
    <t>Al Bennett</t>
  </si>
  <si>
    <t>Chris Obrien</t>
  </si>
  <si>
    <t>New Horizons</t>
  </si>
  <si>
    <t>Wavelength 780</t>
  </si>
  <si>
    <t>Ted Kerr</t>
  </si>
  <si>
    <t>Newtricks</t>
  </si>
  <si>
    <t>John Stark</t>
  </si>
  <si>
    <t>No Problems</t>
  </si>
  <si>
    <t>Schionning Waterline</t>
  </si>
  <si>
    <t>Ray Hobbs</t>
  </si>
  <si>
    <t>G. Myers</t>
  </si>
  <si>
    <t>Normal Variant</t>
  </si>
  <si>
    <t>C24</t>
  </si>
  <si>
    <t>Lindsay Rowe</t>
  </si>
  <si>
    <t>Obsession</t>
  </si>
  <si>
    <t>Farrier F25</t>
  </si>
  <si>
    <t>David Vockter</t>
  </si>
  <si>
    <t>D Dorsett</t>
  </si>
  <si>
    <t>Ocean Emu</t>
  </si>
  <si>
    <t>Grainger Westcoaster</t>
  </si>
  <si>
    <t>William Fea</t>
  </si>
  <si>
    <t>P.Day</t>
  </si>
  <si>
    <t>Off The rails</t>
  </si>
  <si>
    <t>Grahame Rivett</t>
  </si>
  <si>
    <t>Oui! Oui!</t>
  </si>
  <si>
    <t>Multi 23</t>
  </si>
  <si>
    <t>Out Rage</t>
  </si>
  <si>
    <t>Overdrive</t>
  </si>
  <si>
    <t>Rupert King</t>
  </si>
  <si>
    <t>Peccadillo</t>
  </si>
  <si>
    <t>Charles Meredith</t>
  </si>
  <si>
    <t>Meizer/Bulka</t>
  </si>
  <si>
    <t>P1</t>
  </si>
  <si>
    <t>Perfect Timing</t>
  </si>
  <si>
    <t>F82R</t>
  </si>
  <si>
    <t>David Wilson</t>
  </si>
  <si>
    <t>Pocahontas</t>
  </si>
  <si>
    <t>Farrier 33</t>
  </si>
  <si>
    <t>Pronto</t>
  </si>
  <si>
    <t>Burgess B 10</t>
  </si>
  <si>
    <t>K. Hurling</t>
  </si>
  <si>
    <t>Purple Haze</t>
  </si>
  <si>
    <t>Grainger Essential 8</t>
  </si>
  <si>
    <t>Danny McMillan</t>
  </si>
  <si>
    <t>Purrfik</t>
  </si>
  <si>
    <t>Rogers Coral Sea</t>
  </si>
  <si>
    <t>Ray Perry</t>
  </si>
  <si>
    <t>D Solomon</t>
  </si>
  <si>
    <t>Quickskips</t>
  </si>
  <si>
    <t>Farrier F9ax</t>
  </si>
  <si>
    <t>Peter Millar</t>
  </si>
  <si>
    <t>SP2</t>
  </si>
  <si>
    <t>Raider Fred</t>
  </si>
  <si>
    <t>Grainger 302</t>
  </si>
  <si>
    <t>Dawse &amp; Patterson</t>
  </si>
  <si>
    <t>G.E. Cruse</t>
  </si>
  <si>
    <t>Raider One Design</t>
  </si>
  <si>
    <t>Jamie Morris</t>
  </si>
  <si>
    <t>G. E. Cruse</t>
  </si>
  <si>
    <t>Rainbow 2</t>
  </si>
  <si>
    <t>Dash 750</t>
  </si>
  <si>
    <t>Leon Alexander</t>
  </si>
  <si>
    <t>Redshift</t>
  </si>
  <si>
    <t>Richard Pocock</t>
  </si>
  <si>
    <t>David Tapper</t>
  </si>
  <si>
    <t>J2</t>
  </si>
  <si>
    <t>Renaissance</t>
  </si>
  <si>
    <t>B Weiland</t>
  </si>
  <si>
    <t>Rhythmic</t>
  </si>
  <si>
    <t>Ricochet</t>
  </si>
  <si>
    <t>Farrier F41/44</t>
  </si>
  <si>
    <t>Frank Hobson</t>
  </si>
  <si>
    <t>Romance</t>
  </si>
  <si>
    <t xml:space="preserve">Crowther Windspeed </t>
  </si>
  <si>
    <t>Kriss Dellit</t>
  </si>
  <si>
    <t>Rushour</t>
  </si>
  <si>
    <t>Drew Carruthers</t>
  </si>
  <si>
    <t>Scud</t>
  </si>
  <si>
    <t>F-28R</t>
  </si>
  <si>
    <t>Kurt Ottowa</t>
  </si>
  <si>
    <t>S Barton</t>
  </si>
  <si>
    <t xml:space="preserve">Blue </t>
  </si>
  <si>
    <t>Sea Flight</t>
  </si>
  <si>
    <t>John Pentland</t>
  </si>
  <si>
    <t>Sea Sprinter</t>
  </si>
  <si>
    <t>Dale Gardiner Berry</t>
  </si>
  <si>
    <t>G.Bulka</t>
  </si>
  <si>
    <t>Sirocco</t>
  </si>
  <si>
    <t>Grainger 075</t>
  </si>
  <si>
    <t>Bob Thompson</t>
  </si>
  <si>
    <t>K Hurling</t>
  </si>
  <si>
    <t>Q21</t>
  </si>
  <si>
    <t>Sknot</t>
  </si>
  <si>
    <t>Craig Unthank</t>
  </si>
  <si>
    <t>v306</t>
  </si>
  <si>
    <t>Soul Pattinson Chemist</t>
  </si>
  <si>
    <t>Johan Betrom</t>
  </si>
  <si>
    <t>SPC4</t>
  </si>
  <si>
    <t>Corsair Sprint 750Mk2</t>
  </si>
  <si>
    <t>David Fisher</t>
  </si>
  <si>
    <t>Spirit</t>
  </si>
  <si>
    <t>Formula 40</t>
  </si>
  <si>
    <t>Jason Gard</t>
  </si>
  <si>
    <t>Spook</t>
  </si>
  <si>
    <t>Corsair 36 Tri</t>
  </si>
  <si>
    <t>Tony Eppell</t>
  </si>
  <si>
    <t>Squirrel</t>
  </si>
  <si>
    <t>Unknown</t>
  </si>
  <si>
    <t>Ed Gibson</t>
  </si>
  <si>
    <t>Steppin Along</t>
  </si>
  <si>
    <t>Grainger Alfresco</t>
  </si>
  <si>
    <t>Peter Sutherland</t>
  </si>
  <si>
    <t>Stick Shift</t>
  </si>
  <si>
    <t>73</t>
  </si>
  <si>
    <t>Stir Fry</t>
  </si>
  <si>
    <t>Ballistic 31</t>
  </si>
  <si>
    <t>Trevor Brown</t>
  </si>
  <si>
    <t>D. Dorsett</t>
  </si>
  <si>
    <t>Summersalt</t>
  </si>
  <si>
    <t>Pescott 10m Cat</t>
  </si>
  <si>
    <t>Roger Kingdon/Mark Pescott</t>
  </si>
  <si>
    <t>C200</t>
  </si>
  <si>
    <t>Summit</t>
  </si>
  <si>
    <t>S. Barton/R butler</t>
  </si>
  <si>
    <t>Blue white  Red</t>
  </si>
  <si>
    <t>Team Australia</t>
  </si>
  <si>
    <t>ORMA 60</t>
  </si>
  <si>
    <t>Sean Langman</t>
  </si>
  <si>
    <t>Simon Hull</t>
  </si>
  <si>
    <t>Tearaway</t>
  </si>
  <si>
    <t>G Kneebone</t>
  </si>
  <si>
    <t>Jenkins 34</t>
  </si>
  <si>
    <t>Bruce Dickson</t>
  </si>
  <si>
    <t>D Gemmell</t>
  </si>
  <si>
    <t>The Experiment</t>
  </si>
  <si>
    <t>Tilt 7</t>
  </si>
  <si>
    <t>G.Floyd</t>
  </si>
  <si>
    <t>The Tribe</t>
  </si>
  <si>
    <t>F-82R Mod</t>
  </si>
  <si>
    <t>John Hardy</t>
  </si>
  <si>
    <t>Thrill Neck</t>
  </si>
  <si>
    <t>F 82R</t>
  </si>
  <si>
    <t>Ray Cleary</t>
  </si>
  <si>
    <t xml:space="preserve">Tiger </t>
  </si>
  <si>
    <t>Top Gun</t>
  </si>
  <si>
    <t>Crowther 50</t>
  </si>
  <si>
    <t>Darren Drew</t>
  </si>
  <si>
    <t>Trade Wind</t>
  </si>
  <si>
    <t>Allan Rees</t>
  </si>
  <si>
    <t>Trilogy</t>
  </si>
  <si>
    <t>D Fawell</t>
  </si>
  <si>
    <t>Trinity</t>
  </si>
  <si>
    <t>Peter Hackett</t>
  </si>
  <si>
    <t>020</t>
  </si>
  <si>
    <t>Turning Point</t>
  </si>
  <si>
    <t>Grainger cat</t>
  </si>
  <si>
    <t>Clayton Matthews</t>
  </si>
  <si>
    <t>Twiggy</t>
  </si>
  <si>
    <t>Michael Finch</t>
  </si>
  <si>
    <t>red white</t>
  </si>
  <si>
    <t>Two Tribes</t>
  </si>
  <si>
    <t>Egan</t>
  </si>
  <si>
    <t>Paul Nudd</t>
  </si>
  <si>
    <t>Two Up Together</t>
  </si>
  <si>
    <t>Justine Grunwald</t>
  </si>
  <si>
    <t>Tyee III</t>
  </si>
  <si>
    <t>Catana</t>
  </si>
  <si>
    <t>John William</t>
  </si>
  <si>
    <t>Wavelength</t>
  </si>
  <si>
    <t>Forster</t>
  </si>
  <si>
    <t>Bob Forster</t>
  </si>
  <si>
    <t>Wild Spirit</t>
  </si>
  <si>
    <t>Crowther Shockwave 40</t>
  </si>
  <si>
    <t>Keith Rixon</t>
  </si>
  <si>
    <t>G. Cruse</t>
  </si>
  <si>
    <t>M340</t>
  </si>
  <si>
    <t>Wild Thing</t>
  </si>
  <si>
    <t>Keith Roberts</t>
  </si>
  <si>
    <t>Wilparina 2</t>
  </si>
  <si>
    <t>F9R Mod</t>
  </si>
  <si>
    <t>Wired</t>
  </si>
  <si>
    <t>Paul Waller</t>
  </si>
  <si>
    <t>With Teeth</t>
  </si>
  <si>
    <t xml:space="preserve"> Farrier F25a</t>
  </si>
  <si>
    <t>Mark Stafford</t>
  </si>
  <si>
    <t>01</t>
  </si>
  <si>
    <t>P Barker</t>
  </si>
  <si>
    <t>Zorro 2</t>
  </si>
  <si>
    <t>Alan Brand</t>
  </si>
  <si>
    <t>Extreme 40</t>
  </si>
  <si>
    <t>Jaguar</t>
  </si>
  <si>
    <t>Surtees 22</t>
  </si>
  <si>
    <t>Len Surtees</t>
  </si>
  <si>
    <t>Zero</t>
  </si>
  <si>
    <t>Schionning G Force 1800</t>
  </si>
  <si>
    <t>Frank Racing</t>
  </si>
  <si>
    <t>GC 32</t>
  </si>
  <si>
    <t>o8-Aug-16</t>
  </si>
  <si>
    <t xml:space="preserve">Farrier F32 </t>
  </si>
  <si>
    <t>Stardust</t>
  </si>
  <si>
    <t>Tag 60</t>
  </si>
  <si>
    <t>Inactive Multihulls - No longer sailing or no longer racing</t>
  </si>
  <si>
    <t>3 Sum</t>
  </si>
  <si>
    <t>Trailer tri TT680</t>
  </si>
  <si>
    <t>C. McQueen</t>
  </si>
  <si>
    <t>F1</t>
  </si>
  <si>
    <t>Soft</t>
  </si>
  <si>
    <t>Adios</t>
  </si>
  <si>
    <t>Graham Argall</t>
  </si>
  <si>
    <t>1</t>
  </si>
  <si>
    <t>Against The Wind</t>
  </si>
  <si>
    <t>Hitchhiker Mk 3</t>
  </si>
  <si>
    <t>R Brindley</t>
  </si>
  <si>
    <t>No Keel/C'Board</t>
  </si>
  <si>
    <t>Albatross</t>
  </si>
  <si>
    <t>Farrier F9A</t>
  </si>
  <si>
    <t>Tony Steinland</t>
  </si>
  <si>
    <t>Alpha Centauri 2</t>
  </si>
  <si>
    <t>Crowther Windspeed 37 modified</t>
  </si>
  <si>
    <t>Kim Mitchell</t>
  </si>
  <si>
    <t>Animal</t>
  </si>
  <si>
    <t>Wayne Huxley</t>
  </si>
  <si>
    <t>Nicol Luxford (modified)</t>
  </si>
  <si>
    <t>Sydney Luxford</t>
  </si>
  <si>
    <t>Atmosphere</t>
  </si>
  <si>
    <t>Benoit Lesaffre</t>
  </si>
  <si>
    <t>M Pescott</t>
  </si>
  <si>
    <t>Avalanche</t>
  </si>
  <si>
    <t>Lidgard</t>
  </si>
  <si>
    <t>Bach And Byte</t>
  </si>
  <si>
    <t>Gross Fastback 43</t>
  </si>
  <si>
    <t>Daviid Gemmell</t>
  </si>
  <si>
    <t>J Hawkings</t>
  </si>
  <si>
    <t>Bavarian Flyer</t>
  </si>
  <si>
    <t>Corsair F27</t>
  </si>
  <si>
    <t>Ken Darcy</t>
  </si>
  <si>
    <t>Beaufighter</t>
  </si>
  <si>
    <t>Farrier F9AX</t>
  </si>
  <si>
    <t>Peter Jackson</t>
  </si>
  <si>
    <t>B. Wieland</t>
  </si>
  <si>
    <t>Big Bird</t>
  </si>
  <si>
    <t xml:space="preserve">Grainger MTB 920 </t>
  </si>
  <si>
    <t>BB2U</t>
  </si>
  <si>
    <t>T1</t>
  </si>
  <si>
    <t>Blade Runner</t>
  </si>
  <si>
    <t>Trailertri 720 (modified)</t>
  </si>
  <si>
    <t>Tony Murray</t>
  </si>
  <si>
    <t>Blithe Spirit</t>
  </si>
  <si>
    <t>Crowther Super shockwave</t>
  </si>
  <si>
    <t>Neville Stanford</t>
  </si>
  <si>
    <t>Brandy Creek Ferry</t>
  </si>
  <si>
    <t>Grainger one off</t>
  </si>
  <si>
    <t>Graham Matthews</t>
  </si>
  <si>
    <t>Bullfrog</t>
  </si>
  <si>
    <t>Geoff Hunter</t>
  </si>
  <si>
    <t>Chris O'Brien</t>
  </si>
  <si>
    <t>Cascade with No 2</t>
  </si>
  <si>
    <t>Alex Mc Naughtan</t>
  </si>
  <si>
    <t>Chilli</t>
  </si>
  <si>
    <t>Cirrus</t>
  </si>
  <si>
    <t>Martin Kilpatrick</t>
  </si>
  <si>
    <t>Cocktails For Two</t>
  </si>
  <si>
    <t>Arber Soueaster</t>
  </si>
  <si>
    <t>Trevor dellitt</t>
  </si>
  <si>
    <t>D. Gemmell</t>
  </si>
  <si>
    <t>Conquest</t>
  </si>
  <si>
    <t>Gary Hall</t>
  </si>
  <si>
    <t>Corsair</t>
  </si>
  <si>
    <t>Paul Koch</t>
  </si>
  <si>
    <t>D Jenkins</t>
  </si>
  <si>
    <t>Cruise Missile</t>
  </si>
  <si>
    <t>C. OBrien</t>
  </si>
  <si>
    <t>Cynophobe</t>
  </si>
  <si>
    <t>Peter Miller</t>
  </si>
  <si>
    <t>Dog House</t>
  </si>
  <si>
    <t>GBE</t>
  </si>
  <si>
    <t>David Morgan</t>
  </si>
  <si>
    <t>Don’t Panic</t>
  </si>
  <si>
    <t>HH Tramp</t>
  </si>
  <si>
    <t>Daniel Pearson</t>
  </si>
  <si>
    <t>Down Under</t>
  </si>
  <si>
    <t>Corsair 24/ F24</t>
  </si>
  <si>
    <t>R. Jenkins</t>
  </si>
  <si>
    <t>Dragonfly</t>
  </si>
  <si>
    <t>Quarning Dragonfly 800</t>
  </si>
  <si>
    <t>Toby Somerville</t>
  </si>
  <si>
    <t>Dual Force</t>
  </si>
  <si>
    <t>Simpson/Solomon Formula 1</t>
  </si>
  <si>
    <t>D &amp; W Solomon</t>
  </si>
  <si>
    <t>Enterprise</t>
  </si>
  <si>
    <t>Chamberlin Parallax  11</t>
  </si>
  <si>
    <t>Robert Mackenzie</t>
  </si>
  <si>
    <t>2xFixed</t>
  </si>
  <si>
    <t>Escape Pod 3</t>
  </si>
  <si>
    <t>Haines Hunter Tramp</t>
  </si>
  <si>
    <t>Jason Sherwood</t>
  </si>
  <si>
    <t>Excalibur</t>
  </si>
  <si>
    <t>F-82</t>
  </si>
  <si>
    <t>M Vincent</t>
  </si>
  <si>
    <t>F-1eleven</t>
  </si>
  <si>
    <t>Farrier F24 Mk2</t>
  </si>
  <si>
    <t>M.Vincent</t>
  </si>
  <si>
    <t>Full Bore</t>
  </si>
  <si>
    <t>F-9A</t>
  </si>
  <si>
    <t>G Force</t>
  </si>
  <si>
    <t>Farrier F-82R</t>
  </si>
  <si>
    <t>Robert Warner</t>
  </si>
  <si>
    <t>Gabirri</t>
  </si>
  <si>
    <t xml:space="preserve">kendrick Scarab 670 </t>
  </si>
  <si>
    <t>Bruce Robertson</t>
  </si>
  <si>
    <t>Gandalf</t>
  </si>
  <si>
    <t>Ostac (Corsair 3600)</t>
  </si>
  <si>
    <t>Greg Wiman</t>
  </si>
  <si>
    <t>Grey Matter</t>
  </si>
  <si>
    <t>Peter Petzold</t>
  </si>
  <si>
    <t>Highly Strung</t>
  </si>
  <si>
    <t>Grainger 075 ?</t>
  </si>
  <si>
    <t>M. &amp; N. Chache</t>
  </si>
  <si>
    <t>Hot Property</t>
  </si>
  <si>
    <t>Paul Steinhardt</t>
  </si>
  <si>
    <t>Hot Vindaloo</t>
  </si>
  <si>
    <t>Insulation Solutions</t>
  </si>
  <si>
    <t xml:space="preserve"> Egan Trailable Cat</t>
  </si>
  <si>
    <t>R Engwirda</t>
  </si>
  <si>
    <t>P. Day (Check)</t>
  </si>
  <si>
    <t>TCat</t>
  </si>
  <si>
    <t>Intermezzo</t>
  </si>
  <si>
    <t>Roger Fawcett</t>
  </si>
  <si>
    <t>Iris of Bergen</t>
  </si>
  <si>
    <t>Mark Ward</t>
  </si>
  <si>
    <t>Fin Keels</t>
  </si>
  <si>
    <t>Knot Shore</t>
  </si>
  <si>
    <t>Wayne Harvey</t>
  </si>
  <si>
    <t>Kunama</t>
  </si>
  <si>
    <t>Waller TC 670</t>
  </si>
  <si>
    <t>Norm Foote</t>
  </si>
  <si>
    <t>Louie Da Tri</t>
  </si>
  <si>
    <t>Madneeka</t>
  </si>
  <si>
    <t>John Fairfull</t>
  </si>
  <si>
    <t>Magic Shadow</t>
  </si>
  <si>
    <t>Corsair 28R</t>
  </si>
  <si>
    <t>Robert Dean</t>
  </si>
  <si>
    <t>Malibu</t>
  </si>
  <si>
    <t>Trailable Cat</t>
  </si>
  <si>
    <t>C. Queenan</t>
  </si>
  <si>
    <t>Maripi</t>
  </si>
  <si>
    <t>Prout Snowgoose (modified)</t>
  </si>
  <si>
    <t>S F Withers</t>
  </si>
  <si>
    <t>Millenium Bug</t>
  </si>
  <si>
    <t>Farrier F-24  BNMkII</t>
  </si>
  <si>
    <t>Lachlan Macfarlane</t>
  </si>
  <si>
    <t>Min Min</t>
  </si>
  <si>
    <t xml:space="preserve"> </t>
  </si>
  <si>
    <t>S. Rumble</t>
  </si>
  <si>
    <t>MYSA #99</t>
  </si>
  <si>
    <t>No Limits</t>
  </si>
  <si>
    <t>Farrier F-24 Mk II</t>
  </si>
  <si>
    <t>John Smithwick</t>
  </si>
  <si>
    <t>Nudgee Budgie</t>
  </si>
  <si>
    <t>Fraser Special</t>
  </si>
  <si>
    <t>Cliff Fraser</t>
  </si>
  <si>
    <t>On Top</t>
  </si>
  <si>
    <t>Ian Jones</t>
  </si>
  <si>
    <t>Pacifica</t>
  </si>
  <si>
    <t>Pages</t>
  </si>
  <si>
    <t>Phil Hames</t>
  </si>
  <si>
    <t>Peregrine</t>
  </si>
  <si>
    <t xml:space="preserve"> Grainger 075</t>
  </si>
  <si>
    <t>Pickle Fork</t>
  </si>
  <si>
    <t>Chris Kerrison / Phil Day</t>
  </si>
  <si>
    <t>M .Vincent</t>
  </si>
  <si>
    <t>Pork Chop</t>
  </si>
  <si>
    <t>Daryl Dorsett</t>
  </si>
  <si>
    <t>P Care</t>
  </si>
  <si>
    <t>Predator</t>
  </si>
  <si>
    <t>Crowther Windspeed 37</t>
  </si>
  <si>
    <t>Brian Anstee</t>
  </si>
  <si>
    <t>Quick Sand</t>
  </si>
  <si>
    <t xml:space="preserve"> Farrier F82R</t>
  </si>
  <si>
    <t>Glen Harris</t>
  </si>
  <si>
    <t>Rajah</t>
  </si>
  <si>
    <t>Haines Tramp</t>
  </si>
  <si>
    <t>Bryce Taylor</t>
  </si>
  <si>
    <t>Rastus</t>
  </si>
  <si>
    <t>TT680</t>
  </si>
  <si>
    <t>Ron Whutaker</t>
  </si>
  <si>
    <t>Raw Fin</t>
  </si>
  <si>
    <t>David Knezevic</t>
  </si>
  <si>
    <t>78</t>
  </si>
  <si>
    <t>Raw Nerve</t>
  </si>
  <si>
    <t>Crowther/Bloomfield</t>
  </si>
  <si>
    <t>Martin Riley</t>
  </si>
  <si>
    <t>Raw To The Core</t>
  </si>
  <si>
    <t>V28-2</t>
  </si>
  <si>
    <t>Ratepayer</t>
  </si>
  <si>
    <t xml:space="preserve">Tennant (modified) </t>
  </si>
  <si>
    <t>Les Routledge</t>
  </si>
  <si>
    <t>Red Back</t>
  </si>
  <si>
    <t>T Somerville</t>
  </si>
  <si>
    <t>Saloon Bar</t>
  </si>
  <si>
    <t>Lidgard Lidgard 47</t>
  </si>
  <si>
    <t>John Davies</t>
  </si>
  <si>
    <t>Shanda</t>
  </si>
  <si>
    <t>Shawn Arber 42</t>
  </si>
  <si>
    <t>Bruce Weiland</t>
  </si>
  <si>
    <t>Sha-zaul</t>
  </si>
  <si>
    <t>Paul Gold</t>
  </si>
  <si>
    <t>Shooting Star</t>
  </si>
  <si>
    <t xml:space="preserve"> Contour 30         </t>
  </si>
  <si>
    <t>T playne/K Hurling</t>
  </si>
  <si>
    <t xml:space="preserve">GE Cruse                                                                            </t>
  </si>
  <si>
    <t>Shuttle</t>
  </si>
  <si>
    <t>Cirrostratus 10</t>
  </si>
  <si>
    <t>V6</t>
  </si>
  <si>
    <t>S1</t>
  </si>
  <si>
    <t>Silent Running</t>
  </si>
  <si>
    <t>Grainger Tri</t>
  </si>
  <si>
    <t>G Martin</t>
  </si>
  <si>
    <t>Sin</t>
  </si>
  <si>
    <t>Farrier 720</t>
  </si>
  <si>
    <t>G bulka</t>
  </si>
  <si>
    <t>Gbulka</t>
  </si>
  <si>
    <t>Skedaddle Narrow</t>
  </si>
  <si>
    <t>S Fishley</t>
  </si>
  <si>
    <t>Slick Willie</t>
  </si>
  <si>
    <t>Chris &amp; Craig</t>
  </si>
  <si>
    <t>Spellbound</t>
  </si>
  <si>
    <t>Geoff Toomey</t>
  </si>
  <si>
    <t>W. Pringle</t>
  </si>
  <si>
    <t>Spud Gun</t>
  </si>
  <si>
    <t>Schionning cat</t>
  </si>
  <si>
    <t>Farrier F31`</t>
  </si>
  <si>
    <t>S.Russel</t>
  </si>
  <si>
    <t>Sunday Session</t>
  </si>
  <si>
    <t>Pescott Whitehaven 9.5 Stretched</t>
  </si>
  <si>
    <t>Take Control</t>
  </si>
  <si>
    <t>Farrier F25a</t>
  </si>
  <si>
    <t>Peter Quinn</t>
  </si>
  <si>
    <t>THE BOSS</t>
  </si>
  <si>
    <t>Arber South easter</t>
  </si>
  <si>
    <t>R Zerner</t>
  </si>
  <si>
    <t>Time Bandit</t>
  </si>
  <si>
    <t>Pescott Whitehaven</t>
  </si>
  <si>
    <t>M &amp; C Shelley</t>
  </si>
  <si>
    <t>W Pringle</t>
  </si>
  <si>
    <t>TLC</t>
  </si>
  <si>
    <t>Crowther 10m</t>
  </si>
  <si>
    <t>Tim Playne</t>
  </si>
  <si>
    <t>k Hurling</t>
  </si>
  <si>
    <t>Touchpaper</t>
  </si>
  <si>
    <t>Crowther</t>
  </si>
  <si>
    <t>Trevor and Kriss Dellit</t>
  </si>
  <si>
    <t>Tri Hard</t>
  </si>
  <si>
    <t xml:space="preserve"> Farrier F25</t>
  </si>
  <si>
    <t>Ross Webster</t>
  </si>
  <si>
    <t>Tribelle</t>
  </si>
  <si>
    <t>Kim Hooper</t>
  </si>
  <si>
    <t>Trifle</t>
  </si>
  <si>
    <t>Trailer Tri 680 ?</t>
  </si>
  <si>
    <t>Vince Gardiner</t>
  </si>
  <si>
    <t>Trilogic</t>
  </si>
  <si>
    <t xml:space="preserve"> Grainger 8m custom tri</t>
  </si>
  <si>
    <t>P.Barker</t>
  </si>
  <si>
    <t>T</t>
  </si>
  <si>
    <t>Trinket</t>
  </si>
  <si>
    <t>Farrier F32</t>
  </si>
  <si>
    <t>Triumph</t>
  </si>
  <si>
    <t>Farrier F31 Aft Cabin</t>
  </si>
  <si>
    <t>F Gans</t>
  </si>
  <si>
    <t>Trojan</t>
  </si>
  <si>
    <t>G Jack</t>
  </si>
  <si>
    <t>R Butler/S barton</t>
  </si>
  <si>
    <t>Venom</t>
  </si>
  <si>
    <t>Viento</t>
  </si>
  <si>
    <t>Mark Wilson</t>
  </si>
  <si>
    <t>Voodoo Spirit</t>
  </si>
  <si>
    <t>Doug Cuming</t>
  </si>
  <si>
    <t>R. Butler</t>
  </si>
  <si>
    <t>We Three</t>
  </si>
  <si>
    <t>James Brown</t>
  </si>
  <si>
    <t>Whitebird</t>
  </si>
  <si>
    <t>Mashford 36</t>
  </si>
  <si>
    <t>Ian Freeman</t>
  </si>
  <si>
    <t>Wildcat</t>
  </si>
  <si>
    <t>Crowther X 10</t>
  </si>
  <si>
    <t>Wingin It</t>
  </si>
  <si>
    <t>Darryn Purdy</t>
  </si>
  <si>
    <t>V010</t>
  </si>
  <si>
    <t>Xcatriot</t>
  </si>
  <si>
    <t>Pescott Whitehaven 11.8</t>
  </si>
  <si>
    <t>Bob Brindley</t>
  </si>
  <si>
    <t>XL2</t>
  </si>
  <si>
    <t>Crowther #72 Super Shockwave</t>
  </si>
  <si>
    <t>Zorro</t>
  </si>
  <si>
    <t>Fin Factor</t>
  </si>
  <si>
    <r>
      <t>Foil Factor (&gt;30</t>
    </r>
    <r>
      <rPr>
        <b/>
        <sz val="10"/>
        <rFont val="Calibri"/>
        <family val="2"/>
      </rPr>
      <t>°</t>
    </r>
    <r>
      <rPr>
        <b/>
        <sz val="10"/>
        <rFont val="Verdana"/>
        <family val="2"/>
      </rPr>
      <t xml:space="preserve"> to vertical)</t>
    </r>
  </si>
  <si>
    <t>Propellor Factor</t>
  </si>
  <si>
    <t>Efficiency Factors</t>
  </si>
  <si>
    <t>Mainsail Battens</t>
  </si>
  <si>
    <t>RL Coefficients</t>
  </si>
  <si>
    <t>Downwind ZVAL</t>
  </si>
  <si>
    <t>Length ^ 3</t>
  </si>
  <si>
    <t>Angled</t>
  </si>
  <si>
    <t>Length ^ 2</t>
  </si>
  <si>
    <t>Curved</t>
  </si>
  <si>
    <t>1xFixed</t>
  </si>
  <si>
    <t>Constant</t>
  </si>
  <si>
    <t>Length Threshold</t>
  </si>
  <si>
    <t>Max Coeff</t>
  </si>
  <si>
    <t>P.Hackett</t>
  </si>
  <si>
    <t>Nicky C</t>
  </si>
  <si>
    <t>Schionning Cosmos 14.3</t>
  </si>
  <si>
    <t>Ian Cooper</t>
  </si>
  <si>
    <t>M. Hodges/R. Jenkins</t>
  </si>
  <si>
    <t>Good Times 2</t>
  </si>
  <si>
    <t>Corsair 28 CC</t>
  </si>
  <si>
    <t>Paul Dougherty</t>
  </si>
  <si>
    <t>P. Hackett</t>
  </si>
  <si>
    <t>Attitude</t>
  </si>
  <si>
    <t>ex Alan Brand</t>
  </si>
  <si>
    <t>Eat Dessert First</t>
  </si>
  <si>
    <t>Keith Chidzey</t>
  </si>
  <si>
    <t>Xena</t>
  </si>
  <si>
    <t>Chris White 46 MkII</t>
  </si>
  <si>
    <t>I MacDougall</t>
  </si>
  <si>
    <t>P Hawker / P Boyd / I MacDougall</t>
  </si>
  <si>
    <t>ex Rob Quirk</t>
  </si>
  <si>
    <t>Guy Badgery</t>
  </si>
  <si>
    <t>ex Garry Scott</t>
  </si>
  <si>
    <t>Dux Nutts</t>
  </si>
  <si>
    <t>ex David Mason</t>
  </si>
  <si>
    <t>ex Marcus Randell</t>
  </si>
  <si>
    <t>ex Stephen Barton</t>
  </si>
  <si>
    <t>ex M. Kingsberry</t>
  </si>
  <si>
    <t>Anthony Richardson</t>
  </si>
  <si>
    <t>John Nayler</t>
  </si>
  <si>
    <t>F61</t>
  </si>
  <si>
    <t>Don Stock</t>
  </si>
  <si>
    <t>John Dowling</t>
  </si>
  <si>
    <t>ex Chris Wren</t>
  </si>
  <si>
    <t>Leitning Storm</t>
  </si>
  <si>
    <t>Mark Leitner</t>
  </si>
  <si>
    <t>Eric Cook</t>
  </si>
  <si>
    <t>Closer To God</t>
  </si>
  <si>
    <t>Freelance</t>
  </si>
  <si>
    <t>Neville McElroy</t>
  </si>
  <si>
    <t>Evil Gnome</t>
  </si>
  <si>
    <t>F 85SR</t>
  </si>
  <si>
    <t>Clive Kennedy</t>
  </si>
  <si>
    <t>Mad Hatter</t>
  </si>
  <si>
    <t>Phill Brander</t>
  </si>
  <si>
    <t>Wilparina 3</t>
  </si>
  <si>
    <t>Diam OD</t>
  </si>
  <si>
    <t>Rob Remilton</t>
  </si>
  <si>
    <t>Renegade</t>
  </si>
  <si>
    <t>It's All Good</t>
  </si>
  <si>
    <t>Ostac Tramp</t>
  </si>
  <si>
    <t>John Longworth</t>
  </si>
  <si>
    <t>F-Bomb</t>
  </si>
  <si>
    <t>Catalyst</t>
  </si>
  <si>
    <t xml:space="preserve">Newick </t>
  </si>
  <si>
    <t>Jayson Jenkinson</t>
  </si>
  <si>
    <t>Mark Johns</t>
  </si>
  <si>
    <t>Blue</t>
  </si>
  <si>
    <t>Plan B</t>
  </si>
  <si>
    <t>Ross Perrins</t>
  </si>
  <si>
    <t>Mike Peberdy</t>
  </si>
  <si>
    <t>Tony Considine</t>
  </si>
  <si>
    <t>Catana 47</t>
  </si>
  <si>
    <t>Rogers Magnified 2.0</t>
  </si>
  <si>
    <t>Endorfin</t>
  </si>
  <si>
    <t>Fury Road</t>
  </si>
  <si>
    <t>S. Beyer</t>
  </si>
  <si>
    <t>Ullman Sails</t>
  </si>
  <si>
    <t>Shaun Jackson/Lach McFarlane</t>
  </si>
  <si>
    <t>Paul Mitchell</t>
  </si>
  <si>
    <t>G Floyd</t>
  </si>
  <si>
    <t>Time Machine</t>
  </si>
  <si>
    <t>Matt Von Bibra</t>
  </si>
  <si>
    <t>Wet-As</t>
  </si>
  <si>
    <t>Weta 4.4</t>
  </si>
  <si>
    <t>Little Fella</t>
  </si>
  <si>
    <t>McJak</t>
  </si>
  <si>
    <t>B. Dixon</t>
  </si>
  <si>
    <t>Pulse 600</t>
  </si>
  <si>
    <t>Triple Expresso</t>
  </si>
  <si>
    <t>Andrew McColl</t>
  </si>
  <si>
    <t>G. Floyd</t>
  </si>
  <si>
    <t>Corsair 760</t>
  </si>
  <si>
    <t>Chris Bowden</t>
  </si>
  <si>
    <t>IntrIIgue</t>
  </si>
  <si>
    <t>ex David Vockler</t>
  </si>
  <si>
    <t>Les Wilson</t>
  </si>
  <si>
    <t>P. Boyd</t>
  </si>
  <si>
    <t>Triton</t>
  </si>
  <si>
    <t>Eldo</t>
  </si>
  <si>
    <t>Tennant</t>
  </si>
  <si>
    <t>Outer Limits</t>
  </si>
  <si>
    <t>Haydn Rough</t>
  </si>
  <si>
    <t>Carwardine</t>
  </si>
  <si>
    <t>Dirty Deeds</t>
  </si>
  <si>
    <t>KiwiBox</t>
  </si>
  <si>
    <t>White</t>
  </si>
  <si>
    <t>Geoff Berg</t>
  </si>
  <si>
    <t>Storm Bay</t>
  </si>
  <si>
    <t>Marc Gerard</t>
  </si>
  <si>
    <t>Indian Chief</t>
  </si>
  <si>
    <t>Grainger Red Raider</t>
  </si>
  <si>
    <t>Ave Gitana</t>
  </si>
  <si>
    <t>Crowther 40</t>
  </si>
  <si>
    <t>Antonio Pasquale</t>
  </si>
  <si>
    <t>G'Nome</t>
  </si>
  <si>
    <t>Romanza</t>
  </si>
  <si>
    <t>Morelli and Melvin</t>
  </si>
  <si>
    <t>D Love / J Knowles</t>
  </si>
  <si>
    <t>Michael Van Der Zwaard</t>
  </si>
  <si>
    <t>Terry Archer</t>
  </si>
  <si>
    <t>Tripod</t>
  </si>
  <si>
    <t>Where's Jack</t>
  </si>
  <si>
    <t>Rob Waterhouse</t>
  </si>
  <si>
    <t>Craig Molloy</t>
  </si>
  <si>
    <t>Michael duVallon</t>
  </si>
  <si>
    <t>ex Geoff Floyd</t>
  </si>
  <si>
    <t>Edlin 33</t>
  </si>
  <si>
    <t>ex Peter Wilcox</t>
  </si>
  <si>
    <t>Chris Chapman</t>
  </si>
  <si>
    <t>Spearhead</t>
  </si>
  <si>
    <t>Matthew O'Brien</t>
  </si>
  <si>
    <t>V20</t>
  </si>
  <si>
    <t>Sting #1</t>
  </si>
  <si>
    <t>Back in Black</t>
  </si>
  <si>
    <t>High Voltage</t>
  </si>
  <si>
    <t>Michael Peberdy</t>
  </si>
  <si>
    <t>Tribute</t>
  </si>
  <si>
    <t>Farrier F31R</t>
  </si>
  <si>
    <t>Chamberlain 14</t>
  </si>
  <si>
    <t>Gordon Beath</t>
  </si>
  <si>
    <t>Cosmo</t>
  </si>
  <si>
    <t>Stealth 12</t>
  </si>
  <si>
    <t>Peter Wilcox</t>
  </si>
  <si>
    <t>Beau Geste</t>
  </si>
  <si>
    <t>Mod 70</t>
  </si>
  <si>
    <t>Karl Kwok</t>
  </si>
  <si>
    <t>ex Keith Glover</t>
  </si>
  <si>
    <t>Shane Koreman</t>
  </si>
  <si>
    <t>4PLAY</t>
  </si>
  <si>
    <t>SC760</t>
  </si>
  <si>
    <t>Surtees Sting 600</t>
  </si>
  <si>
    <t>Paul Stringer</t>
  </si>
  <si>
    <t>Mad Max</t>
  </si>
  <si>
    <t>TF10</t>
  </si>
  <si>
    <t>NIXE</t>
  </si>
  <si>
    <t>Issy Diebold</t>
  </si>
  <si>
    <t>Bulka 22</t>
  </si>
  <si>
    <t>The Hully Trinity</t>
  </si>
  <si>
    <t>Kevin Burnell</t>
  </si>
  <si>
    <t>Agape</t>
  </si>
  <si>
    <t>Rod White</t>
  </si>
  <si>
    <t>Intrigue NZ</t>
  </si>
  <si>
    <t>Kevin Maria Campbell</t>
  </si>
  <si>
    <t>Foiler</t>
  </si>
  <si>
    <t>Foiler trial of arbitrary foil factor tba</t>
  </si>
  <si>
    <t>Michael Hayes</t>
  </si>
  <si>
    <t>ex Geoff Smith</t>
  </si>
  <si>
    <t>Numantia</t>
  </si>
  <si>
    <t>James Wall</t>
  </si>
  <si>
    <t>Peter Faulkner</t>
  </si>
  <si>
    <t>Crowther Southern Ocean</t>
  </si>
  <si>
    <t>Ken Trevellien</t>
  </si>
  <si>
    <t>G  Cruse</t>
  </si>
  <si>
    <t>M Johns</t>
  </si>
  <si>
    <t>S017</t>
  </si>
  <si>
    <t>S008</t>
  </si>
  <si>
    <t>S009</t>
  </si>
  <si>
    <t>S004</t>
  </si>
  <si>
    <t>Grainger R42 Trimaran</t>
  </si>
  <si>
    <t>Robert Dunn</t>
  </si>
  <si>
    <t>S001</t>
  </si>
  <si>
    <t>S029</t>
  </si>
  <si>
    <t>S028</t>
  </si>
  <si>
    <t>S027</t>
  </si>
  <si>
    <t>S025</t>
  </si>
  <si>
    <t>S012</t>
  </si>
  <si>
    <t>S105</t>
  </si>
  <si>
    <t>S014</t>
  </si>
  <si>
    <t>S030</t>
  </si>
  <si>
    <t>S031</t>
  </si>
  <si>
    <t>Light grey</t>
  </si>
  <si>
    <t>Shaun Carroll</t>
  </si>
  <si>
    <t>S Beyer</t>
  </si>
  <si>
    <t>Hilda</t>
  </si>
  <si>
    <t>Jeff Dodd</t>
  </si>
  <si>
    <t>Seawind 1160</t>
  </si>
  <si>
    <t>Double Black Diamond</t>
  </si>
  <si>
    <t>Seawind 1160 Lite</t>
  </si>
  <si>
    <t>Andrew &amp; Aida Stevenson</t>
  </si>
  <si>
    <t>PH and Co</t>
  </si>
  <si>
    <t>G E.Cruse</t>
  </si>
  <si>
    <t>Seawind</t>
  </si>
  <si>
    <t>R.Jenkins</t>
  </si>
  <si>
    <t>Charleston</t>
  </si>
  <si>
    <t>F 28</t>
  </si>
  <si>
    <t>Joel Berg</t>
  </si>
  <si>
    <t>Goeff Cruce</t>
  </si>
  <si>
    <t>SO36</t>
  </si>
  <si>
    <t>S034</t>
  </si>
  <si>
    <t>S035</t>
  </si>
  <si>
    <t>Richard Morwood</t>
  </si>
  <si>
    <t>Adrian Relf</t>
  </si>
  <si>
    <t>Anna-sophie Dhenin</t>
  </si>
  <si>
    <t>S037</t>
  </si>
  <si>
    <t>SO 38</t>
  </si>
  <si>
    <t xml:space="preserve">R Jenkins </t>
  </si>
  <si>
    <t>Ritalin</t>
  </si>
  <si>
    <t>Craig Humphries</t>
  </si>
  <si>
    <t>:4/02/2021</t>
  </si>
  <si>
    <t>SO40</t>
  </si>
  <si>
    <t>ADHD28</t>
  </si>
  <si>
    <t>RoAmance</t>
  </si>
  <si>
    <t>Mainsail figures to be confirmed</t>
  </si>
  <si>
    <t>Batkare</t>
  </si>
  <si>
    <t>David Netherton</t>
  </si>
  <si>
    <t>M. Hodges/S. Beyer</t>
  </si>
  <si>
    <t>Bare Necessities</t>
  </si>
  <si>
    <t>Peter Bradford</t>
  </si>
  <si>
    <t>D. Renouf</t>
  </si>
  <si>
    <t>Last Weighing Date</t>
  </si>
  <si>
    <t>Corsair F28R</t>
  </si>
  <si>
    <t>Angus</t>
  </si>
  <si>
    <t>OMR Valid?</t>
  </si>
  <si>
    <t>Rex</t>
  </si>
  <si>
    <t xml:space="preserve">Tantrum </t>
  </si>
  <si>
    <t>Kay Cee</t>
  </si>
  <si>
    <t>William Richards</t>
  </si>
  <si>
    <t>Michel Van Der Zwaard</t>
  </si>
  <si>
    <t>New Sails not measured yet last weighing 26 apr 16</t>
  </si>
  <si>
    <t>Stuart Cox</t>
  </si>
  <si>
    <t>Coconuts</t>
  </si>
  <si>
    <t>Robert Engwirda</t>
  </si>
  <si>
    <t>El Toro</t>
  </si>
  <si>
    <t>Kelly Trimaran</t>
  </si>
  <si>
    <t>Ben Kelly</t>
  </si>
  <si>
    <t>Richard Parkes</t>
  </si>
  <si>
    <t>Arber 38</t>
  </si>
  <si>
    <t>Wind Cheetah</t>
  </si>
  <si>
    <t>Barton/Hackett/Jenkins</t>
  </si>
  <si>
    <t>Rogntudjuuu!</t>
  </si>
  <si>
    <t>G.  Cruse</t>
  </si>
  <si>
    <t>Stealth 13</t>
  </si>
  <si>
    <t>Nick Lyons</t>
  </si>
  <si>
    <t>Stealth</t>
  </si>
  <si>
    <t>Vela</t>
  </si>
  <si>
    <t>.62</t>
  </si>
  <si>
    <t>David Vockler</t>
  </si>
  <si>
    <t>Provisional 21/4/2022</t>
  </si>
  <si>
    <t xml:space="preserve">Parabellum </t>
  </si>
  <si>
    <t>Flight Risk</t>
  </si>
  <si>
    <t>Ballistic 8</t>
  </si>
  <si>
    <t>Jamie Saxby</t>
  </si>
  <si>
    <t>daggerboards</t>
  </si>
  <si>
    <t>none</t>
  </si>
  <si>
    <t>The Stig</t>
  </si>
  <si>
    <t>Terry O'Brien</t>
  </si>
  <si>
    <t>D Chittleborough</t>
  </si>
  <si>
    <t>W. Innes</t>
  </si>
  <si>
    <t>D. Chittleborough</t>
  </si>
  <si>
    <t>M 32</t>
  </si>
  <si>
    <t>M 32 World</t>
  </si>
  <si>
    <t>Running Bare</t>
  </si>
  <si>
    <t>Tim Peverell</t>
  </si>
  <si>
    <t>Rumolicious</t>
  </si>
  <si>
    <t>Jai Tooley</t>
  </si>
  <si>
    <t>Fanarang</t>
  </si>
  <si>
    <t>Mappas Fanga</t>
  </si>
  <si>
    <t>Haydn Turnbull</t>
  </si>
  <si>
    <t>Cat's Whiskers</t>
  </si>
  <si>
    <t>Seven Seas 50</t>
  </si>
  <si>
    <t>28/10/2022Old schreecher measurements put on</t>
  </si>
  <si>
    <t>G.Cruse</t>
  </si>
  <si>
    <t>Royce Vanderleur</t>
  </si>
  <si>
    <t>M'tepe</t>
  </si>
  <si>
    <t>SO46</t>
  </si>
  <si>
    <t>SO45</t>
  </si>
  <si>
    <t>10% weight penalty applied for weight out of date</t>
  </si>
  <si>
    <t>11/09/2010</t>
  </si>
  <si>
    <t>M. Johns/G. Saxby</t>
  </si>
  <si>
    <t>SO47</t>
  </si>
  <si>
    <t>SO42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</si>
</sst>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
    <numFmt numFmtId="166" formatCode="dd\-mmm\-yy;@"/>
    <numFmt numFmtId="167" formatCode="0.00\ "/>
    <numFmt numFmtId="168" formatCode="0.000\ "/>
    <numFmt numFmtId="169" formatCode="General\ "/>
    <numFmt numFmtId="170" formatCode="0.0"/>
    <numFmt numFmtId="171" formatCode="0.000000"/>
  </numFmts>
  <fonts count="31" x14ac:knownFonts="1">
    <font>
      <sz val="10"/>
      <name val="Arial"/>
    </font>
    <font>
      <sz val="10"/>
      <name val="Verdana"/>
      <family val="2"/>
    </font>
    <font>
      <sz val="10"/>
      <name val="Calibri"/>
      <family val="2"/>
    </font>
    <font>
      <sz val="10"/>
      <color indexed="39"/>
      <name val="Calibri"/>
      <family val="2"/>
    </font>
    <font>
      <sz val="10"/>
      <color indexed="12"/>
      <name val="Calibri"/>
      <family val="2"/>
    </font>
    <font>
      <sz val="18"/>
      <name val="Verdana"/>
      <family val="2"/>
    </font>
    <font>
      <sz val="10"/>
      <color indexed="10"/>
      <name val="Calibri"/>
      <family val="2"/>
    </font>
    <font>
      <b/>
      <sz val="12"/>
      <name val="Calibri"/>
      <family val="2"/>
    </font>
    <font>
      <b/>
      <sz val="10"/>
      <name val="Calibri"/>
      <family val="2"/>
    </font>
    <font>
      <sz val="12"/>
      <name val="Calibri"/>
      <family val="2"/>
    </font>
    <font>
      <b/>
      <sz val="12"/>
      <color indexed="10"/>
      <name val="Calibri"/>
      <family val="2"/>
    </font>
    <font>
      <b/>
      <sz val="10"/>
      <name val="Verdana"/>
      <family val="2"/>
    </font>
    <font>
      <b/>
      <sz val="12"/>
      <name val="Calibri"/>
      <family val="2"/>
    </font>
    <font>
      <b/>
      <sz val="9"/>
      <color indexed="81"/>
      <name val="Tahoma"/>
      <family val="2"/>
    </font>
    <font>
      <sz val="9"/>
      <color indexed="81"/>
      <name val="Tahoma"/>
      <family val="2"/>
    </font>
    <font>
      <sz val="10"/>
      <color indexed="8"/>
      <name val="Calibri"/>
      <family val="2"/>
    </font>
    <font>
      <sz val="8"/>
      <name val="Arial"/>
      <family val="2"/>
    </font>
    <font>
      <sz val="11"/>
      <color rgb="FF000000"/>
      <name val="Calibri"/>
      <family val="2"/>
    </font>
    <font>
      <sz val="10"/>
      <name val="Calibri"/>
      <family val="2"/>
      <scheme val="minor"/>
    </font>
    <font>
      <sz val="10"/>
      <color theme="1"/>
      <name val="Calibri"/>
      <family val="2"/>
    </font>
    <font>
      <sz val="10"/>
      <name val="Arial"/>
      <family val="2"/>
    </font>
    <font>
      <sz val="8"/>
      <color indexed="10"/>
      <name val="Calibri"/>
      <family val="2"/>
    </font>
    <font>
      <sz val="10"/>
      <color rgb="FFFF0000"/>
      <name val="Calibri"/>
      <family val="2"/>
    </font>
    <font>
      <sz val="22"/>
      <color indexed="54"/>
      <name val="Calibri"/>
      <family val="2"/>
    </font>
    <font>
      <sz val="12"/>
      <color indexed="25"/>
      <name val="Calibri"/>
      <family val="2"/>
    </font>
    <font>
      <sz val="12"/>
      <color indexed="62"/>
      <name val="Calibri"/>
      <family val="2"/>
    </font>
    <font>
      <sz val="12"/>
      <color indexed="62"/>
      <name val="Verdana"/>
      <family val="2"/>
    </font>
    <font>
      <sz val="11"/>
      <color indexed="62"/>
      <name val="Verdana"/>
      <family val="2"/>
    </font>
    <font>
      <sz val="12"/>
      <name val="Calibri"/>
      <family val="2"/>
      <scheme val="minor"/>
    </font>
    <font>
      <u/>
      <sz val="10"/>
      <color theme="10"/>
      <name val="Arial"/>
      <family val="2"/>
    </font>
    <font>
      <sz val="12"/>
      <color theme="1"/>
      <name val="Calibri"/>
      <family val="2"/>
      <scheme val="minor"/>
    </font>
  </fonts>
  <fills count="11">
    <fill>
      <patternFill patternType="none"/>
    </fill>
    <fill>
      <patternFill patternType="gray125"/>
    </fill>
    <fill>
      <patternFill patternType="solid">
        <fgColor indexed="9"/>
        <bgColor indexed="26"/>
      </patternFill>
    </fill>
    <fill>
      <patternFill patternType="solid">
        <fgColor indexed="27"/>
        <bgColor indexed="26"/>
      </patternFill>
    </fill>
    <fill>
      <patternFill patternType="solid">
        <fgColor indexed="26"/>
        <bgColor indexed="9"/>
      </patternFill>
    </fill>
    <fill>
      <patternFill patternType="solid">
        <fgColor indexed="47"/>
        <bgColor indexed="27"/>
      </patternFill>
    </fill>
    <fill>
      <patternFill patternType="solid">
        <fgColor indexed="31"/>
        <bgColor indexed="27"/>
      </patternFill>
    </fill>
    <fill>
      <patternFill patternType="solid">
        <fgColor theme="0" tint="-4.9989318521683403E-2"/>
        <bgColor indexed="64"/>
      </patternFill>
    </fill>
    <fill>
      <patternFill patternType="solid">
        <fgColor theme="0"/>
        <bgColor indexed="64"/>
      </patternFill>
    </fill>
    <fill>
      <patternFill patternType="solid">
        <fgColor theme="0"/>
        <bgColor indexed="26"/>
      </patternFill>
    </fill>
    <fill>
      <patternFill patternType="solid">
        <fgColor theme="0"/>
        <bgColor indexed="27"/>
      </patternFill>
    </fill>
  </fills>
  <borders count="42">
    <border>
      <left/>
      <right/>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medium">
        <color indexed="8"/>
      </right>
      <top style="thin">
        <color indexed="8"/>
      </top>
      <bottom style="thin">
        <color indexed="64"/>
      </bottom>
      <diagonal/>
    </border>
    <border>
      <left style="medium">
        <color indexed="8"/>
      </left>
      <right/>
      <top style="medium">
        <color indexed="8"/>
      </top>
      <bottom/>
      <diagonal/>
    </border>
    <border>
      <left style="medium">
        <color indexed="8"/>
      </left>
      <right/>
      <top/>
      <bottom style="medium">
        <color indexed="8"/>
      </bottom>
      <diagonal/>
    </border>
  </borders>
  <cellStyleXfs count="3">
    <xf numFmtId="0" fontId="0" fillId="0" borderId="0"/>
    <xf numFmtId="0" fontId="1" fillId="0" borderId="0"/>
    <xf numFmtId="0" fontId="29" fillId="0" borderId="0" applyNumberFormat="0" applyFill="0" applyBorder="0" applyAlignment="0" applyProtection="0"/>
  </cellStyleXfs>
  <cellXfs count="456">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2" borderId="0" xfId="1" applyFont="1" applyFill="1" applyAlignment="1">
      <alignment horizontal="left" vertical="center"/>
    </xf>
    <xf numFmtId="164" fontId="3" fillId="2" borderId="0" xfId="1" applyNumberFormat="1" applyFont="1" applyFill="1" applyAlignment="1">
      <alignment horizontal="left" vertical="center"/>
    </xf>
    <xf numFmtId="0" fontId="4" fillId="2" borderId="0" xfId="1" applyFont="1" applyFill="1" applyAlignment="1">
      <alignment vertical="center"/>
    </xf>
    <xf numFmtId="165" fontId="3" fillId="2" borderId="0" xfId="1" applyNumberFormat="1" applyFont="1" applyFill="1" applyAlignment="1">
      <alignment horizontal="center" vertical="center"/>
    </xf>
    <xf numFmtId="166" fontId="2" fillId="2" borderId="0" xfId="1" applyNumberFormat="1" applyFont="1" applyFill="1" applyAlignment="1">
      <alignment horizontal="center" vertical="center"/>
    </xf>
    <xf numFmtId="164" fontId="2" fillId="2" borderId="0" xfId="1" applyNumberFormat="1" applyFont="1" applyFill="1" applyAlignment="1">
      <alignment horizontal="center" vertical="center"/>
    </xf>
    <xf numFmtId="49" fontId="3" fillId="2" borderId="0" xfId="1" applyNumberFormat="1" applyFont="1" applyFill="1" applyAlignment="1">
      <alignment horizontal="center" vertical="center"/>
    </xf>
    <xf numFmtId="2" fontId="3" fillId="2" borderId="0" xfId="1" applyNumberFormat="1" applyFont="1" applyFill="1" applyAlignment="1">
      <alignment horizontal="center" vertical="center"/>
    </xf>
    <xf numFmtId="2" fontId="4" fillId="2" borderId="0" xfId="1" applyNumberFormat="1" applyFont="1" applyFill="1" applyAlignment="1">
      <alignment horizontal="center" vertical="center"/>
    </xf>
    <xf numFmtId="0" fontId="4" fillId="2" borderId="0" xfId="1" applyFont="1" applyFill="1" applyAlignment="1">
      <alignment horizontal="center" vertical="center"/>
    </xf>
    <xf numFmtId="0" fontId="3" fillId="2" borderId="0" xfId="1" applyFont="1" applyFill="1" applyAlignment="1">
      <alignment horizontal="center" vertical="center"/>
    </xf>
    <xf numFmtId="1" fontId="3" fillId="2" borderId="0" xfId="1" applyNumberFormat="1" applyFont="1" applyFill="1" applyAlignment="1">
      <alignment horizontal="center" vertical="center"/>
    </xf>
    <xf numFmtId="164" fontId="3" fillId="2" borderId="0" xfId="1" applyNumberFormat="1" applyFont="1" applyFill="1" applyAlignment="1">
      <alignment horizontal="center" vertical="center"/>
    </xf>
    <xf numFmtId="1" fontId="2" fillId="2" borderId="0" xfId="1" applyNumberFormat="1" applyFont="1" applyFill="1" applyAlignment="1">
      <alignment horizontal="center" vertical="center"/>
    </xf>
    <xf numFmtId="2" fontId="2" fillId="2" borderId="0" xfId="1" applyNumberFormat="1" applyFont="1" applyFill="1" applyAlignment="1">
      <alignment horizontal="center" vertical="center"/>
    </xf>
    <xf numFmtId="0" fontId="3" fillId="2" borderId="0" xfId="1" applyFont="1" applyFill="1" applyAlignment="1">
      <alignment vertical="center"/>
    </xf>
    <xf numFmtId="0" fontId="5" fillId="3" borderId="1" xfId="1" applyFont="1" applyFill="1" applyBorder="1" applyAlignment="1">
      <alignment horizontal="center" vertical="center" wrapText="1"/>
    </xf>
    <xf numFmtId="165" fontId="6" fillId="3" borderId="2" xfId="1" applyNumberFormat="1" applyFont="1" applyFill="1" applyBorder="1" applyAlignment="1">
      <alignment horizontal="center" vertical="center"/>
    </xf>
    <xf numFmtId="0" fontId="6" fillId="3" borderId="4" xfId="1" applyFont="1" applyFill="1" applyBorder="1" applyAlignment="1">
      <alignment horizontal="center" vertical="center"/>
    </xf>
    <xf numFmtId="0" fontId="2" fillId="3" borderId="4" xfId="1" applyFont="1" applyFill="1" applyBorder="1" applyAlignment="1">
      <alignment horizontal="center" vertical="center" wrapText="1" readingOrder="1"/>
    </xf>
    <xf numFmtId="0" fontId="2" fillId="3" borderId="4" xfId="1" applyFont="1" applyFill="1" applyBorder="1" applyAlignment="1">
      <alignment horizontal="center" vertical="center"/>
    </xf>
    <xf numFmtId="165" fontId="2" fillId="3" borderId="4" xfId="1" applyNumberFormat="1" applyFont="1" applyFill="1" applyBorder="1" applyAlignment="1">
      <alignment horizontal="center" vertical="center" wrapText="1"/>
    </xf>
    <xf numFmtId="2" fontId="6" fillId="3" borderId="4" xfId="1" applyNumberFormat="1" applyFont="1" applyFill="1" applyBorder="1" applyAlignment="1">
      <alignment horizontal="center" vertical="center"/>
    </xf>
    <xf numFmtId="2" fontId="2" fillId="3" borderId="4" xfId="1" applyNumberFormat="1" applyFont="1" applyFill="1" applyBorder="1" applyAlignment="1">
      <alignment horizontal="center" vertical="center"/>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2" borderId="0" xfId="1" applyFont="1" applyFill="1" applyAlignment="1">
      <alignment vertical="center"/>
    </xf>
    <xf numFmtId="0" fontId="5" fillId="3" borderId="6" xfId="1" applyFont="1" applyFill="1" applyBorder="1" applyAlignment="1">
      <alignment horizontal="center" vertical="center" wrapText="1"/>
    </xf>
    <xf numFmtId="0" fontId="6" fillId="2" borderId="0" xfId="1" applyFont="1" applyFill="1" applyAlignment="1">
      <alignment horizontal="center" vertical="center"/>
    </xf>
    <xf numFmtId="165" fontId="2" fillId="4" borderId="15" xfId="1" applyNumberFormat="1" applyFont="1" applyFill="1" applyBorder="1" applyAlignment="1">
      <alignment horizontal="center" vertical="center"/>
    </xf>
    <xf numFmtId="2" fontId="2" fillId="4" borderId="16" xfId="1" applyNumberFormat="1" applyFont="1" applyFill="1" applyBorder="1" applyAlignment="1">
      <alignment horizontal="center" vertical="center"/>
    </xf>
    <xf numFmtId="167" fontId="2" fillId="4" borderId="16" xfId="1" applyNumberFormat="1" applyFont="1" applyFill="1" applyBorder="1" applyAlignment="1">
      <alignment horizontal="center" vertical="center"/>
    </xf>
    <xf numFmtId="168" fontId="2" fillId="4" borderId="17" xfId="1" applyNumberFormat="1" applyFont="1" applyFill="1" applyBorder="1" applyAlignment="1">
      <alignment horizontal="center" vertical="center"/>
    </xf>
    <xf numFmtId="1" fontId="2" fillId="4" borderId="16" xfId="1" applyNumberFormat="1" applyFont="1" applyFill="1" applyBorder="1" applyAlignment="1">
      <alignment horizontal="center" vertical="center"/>
    </xf>
    <xf numFmtId="1" fontId="2" fillId="4" borderId="17" xfId="1" applyNumberFormat="1" applyFont="1" applyFill="1" applyBorder="1" applyAlignment="1">
      <alignment horizontal="center" vertical="center"/>
    </xf>
    <xf numFmtId="2" fontId="2" fillId="4" borderId="17" xfId="1" applyNumberFormat="1" applyFont="1" applyFill="1" applyBorder="1" applyAlignment="1">
      <alignment horizontal="center" vertical="center"/>
    </xf>
    <xf numFmtId="169" fontId="2" fillId="2" borderId="15" xfId="1" applyNumberFormat="1" applyFont="1" applyFill="1" applyBorder="1" applyAlignment="1">
      <alignment horizontal="center" vertical="center"/>
    </xf>
    <xf numFmtId="2" fontId="2" fillId="2" borderId="16" xfId="1" applyNumberFormat="1" applyFont="1" applyFill="1" applyBorder="1" applyAlignment="1">
      <alignment horizontal="center" vertical="center"/>
    </xf>
    <xf numFmtId="0" fontId="2" fillId="2" borderId="16" xfId="1" applyFont="1" applyFill="1" applyBorder="1" applyAlignment="1">
      <alignment horizontal="center" vertical="center"/>
    </xf>
    <xf numFmtId="2" fontId="2" fillId="4" borderId="18" xfId="1" applyNumberFormat="1" applyFont="1" applyFill="1" applyBorder="1" applyAlignment="1">
      <alignment horizontal="center" vertical="center"/>
    </xf>
    <xf numFmtId="2" fontId="2" fillId="2" borderId="19" xfId="1" applyNumberFormat="1" applyFont="1" applyFill="1" applyBorder="1" applyAlignment="1">
      <alignment horizontal="center" vertical="center"/>
    </xf>
    <xf numFmtId="2" fontId="2" fillId="4" borderId="15" xfId="1" applyNumberFormat="1" applyFont="1" applyFill="1" applyBorder="1" applyAlignment="1">
      <alignment horizontal="center" vertical="center"/>
    </xf>
    <xf numFmtId="1" fontId="2" fillId="4" borderId="19" xfId="1" applyNumberFormat="1" applyFont="1" applyFill="1" applyBorder="1" applyAlignment="1">
      <alignment horizontal="center" vertical="center"/>
    </xf>
    <xf numFmtId="2" fontId="2" fillId="4" borderId="20" xfId="1" applyNumberFormat="1" applyFont="1" applyFill="1" applyBorder="1" applyAlignment="1">
      <alignment horizontal="center" vertical="center"/>
    </xf>
    <xf numFmtId="0" fontId="7" fillId="2" borderId="21" xfId="1" applyFont="1" applyFill="1" applyBorder="1" applyAlignment="1" applyProtection="1">
      <alignment horizontal="center" vertical="center"/>
      <protection locked="0"/>
    </xf>
    <xf numFmtId="0" fontId="2" fillId="2" borderId="22" xfId="1" applyFont="1" applyFill="1" applyBorder="1" applyAlignment="1" applyProtection="1">
      <alignment horizontal="center" vertical="center" wrapText="1"/>
      <protection locked="0"/>
    </xf>
    <xf numFmtId="0" fontId="2" fillId="2" borderId="23" xfId="1" applyFont="1" applyFill="1" applyBorder="1" applyAlignment="1" applyProtection="1">
      <alignment horizontal="center" vertical="center"/>
      <protection locked="0"/>
    </xf>
    <xf numFmtId="165" fontId="7" fillId="4" borderId="21" xfId="1" applyNumberFormat="1" applyFont="1" applyFill="1" applyBorder="1" applyAlignment="1">
      <alignment horizontal="center" vertical="center"/>
    </xf>
    <xf numFmtId="165" fontId="2" fillId="4" borderId="22" xfId="1" applyNumberFormat="1" applyFont="1" applyFill="1" applyBorder="1" applyAlignment="1">
      <alignment horizontal="center" vertical="center"/>
    </xf>
    <xf numFmtId="166" fontId="2" fillId="2" borderId="24" xfId="1" applyNumberFormat="1" applyFont="1" applyFill="1" applyBorder="1" applyAlignment="1" applyProtection="1">
      <alignment horizontal="center" vertical="center"/>
      <protection locked="0"/>
    </xf>
    <xf numFmtId="0" fontId="2" fillId="2" borderId="24" xfId="1" applyFont="1" applyFill="1" applyBorder="1" applyAlignment="1" applyProtection="1">
      <alignment vertical="center"/>
      <protection locked="0"/>
    </xf>
    <xf numFmtId="166" fontId="6" fillId="2" borderId="24" xfId="1" applyNumberFormat="1" applyFont="1" applyFill="1" applyBorder="1" applyAlignment="1" applyProtection="1">
      <alignment horizontal="center" vertical="center"/>
      <protection locked="0"/>
    </xf>
    <xf numFmtId="49" fontId="2" fillId="2" borderId="24" xfId="1" applyNumberFormat="1" applyFont="1" applyFill="1" applyBorder="1" applyAlignment="1" applyProtection="1">
      <alignment horizontal="center" vertical="center" wrapText="1"/>
      <protection locked="0"/>
    </xf>
    <xf numFmtId="0" fontId="2" fillId="2" borderId="25" xfId="1" applyFont="1" applyFill="1" applyBorder="1" applyAlignment="1" applyProtection="1">
      <alignment horizontal="center" vertical="center"/>
      <protection locked="0"/>
    </xf>
    <xf numFmtId="0" fontId="2" fillId="2" borderId="22" xfId="1" applyFont="1" applyFill="1" applyBorder="1" applyAlignment="1" applyProtection="1">
      <alignment horizontal="center" vertical="center"/>
      <protection locked="0"/>
    </xf>
    <xf numFmtId="0" fontId="2" fillId="2" borderId="24" xfId="1" applyFont="1" applyFill="1" applyBorder="1" applyAlignment="1" applyProtection="1">
      <alignment horizontal="center" vertical="center"/>
      <protection locked="0"/>
    </xf>
    <xf numFmtId="2" fontId="2" fillId="4" borderId="24" xfId="1" applyNumberFormat="1" applyFont="1" applyFill="1" applyBorder="1" applyAlignment="1">
      <alignment horizontal="center" vertical="center"/>
    </xf>
    <xf numFmtId="2" fontId="2" fillId="2" borderId="24" xfId="1" applyNumberFormat="1" applyFont="1" applyFill="1" applyBorder="1" applyAlignment="1" applyProtection="1">
      <alignment horizontal="center" vertical="center"/>
      <protection locked="0"/>
    </xf>
    <xf numFmtId="167" fontId="2" fillId="4" borderId="24" xfId="1" applyNumberFormat="1" applyFont="1" applyFill="1" applyBorder="1" applyAlignment="1">
      <alignment horizontal="center" vertical="center"/>
    </xf>
    <xf numFmtId="168" fontId="2" fillId="4" borderId="25" xfId="1" applyNumberFormat="1" applyFont="1" applyFill="1" applyBorder="1" applyAlignment="1">
      <alignment horizontal="center" vertical="center"/>
    </xf>
    <xf numFmtId="1" fontId="2" fillId="2" borderId="26" xfId="1" applyNumberFormat="1" applyFont="1" applyFill="1" applyBorder="1" applyAlignment="1" applyProtection="1">
      <alignment horizontal="center" vertical="center"/>
      <protection locked="0"/>
    </xf>
    <xf numFmtId="1" fontId="2" fillId="2" borderId="24" xfId="1" applyNumberFormat="1" applyFont="1" applyFill="1" applyBorder="1" applyAlignment="1" applyProtection="1">
      <alignment horizontal="center" vertical="center"/>
      <protection locked="0"/>
    </xf>
    <xf numFmtId="1" fontId="2" fillId="4" borderId="24" xfId="1" applyNumberFormat="1" applyFont="1" applyFill="1" applyBorder="1" applyAlignment="1">
      <alignment horizontal="center" vertical="center"/>
    </xf>
    <xf numFmtId="1" fontId="2" fillId="4" borderId="25" xfId="1" applyNumberFormat="1" applyFont="1" applyFill="1" applyBorder="1" applyAlignment="1">
      <alignment horizontal="center" vertical="center"/>
    </xf>
    <xf numFmtId="165" fontId="2" fillId="2" borderId="22" xfId="1" applyNumberFormat="1" applyFont="1" applyFill="1" applyBorder="1" applyAlignment="1" applyProtection="1">
      <alignment horizontal="center" vertical="center"/>
      <protection locked="0"/>
    </xf>
    <xf numFmtId="165" fontId="2" fillId="2" borderId="24" xfId="1" applyNumberFormat="1" applyFont="1" applyFill="1" applyBorder="1" applyAlignment="1" applyProtection="1">
      <alignment horizontal="center" vertical="center"/>
      <protection locked="0"/>
    </xf>
    <xf numFmtId="164" fontId="2" fillId="2" borderId="24" xfId="1" applyNumberFormat="1" applyFont="1" applyFill="1" applyBorder="1" applyAlignment="1" applyProtection="1">
      <alignment horizontal="center" vertical="center"/>
      <protection locked="0"/>
    </xf>
    <xf numFmtId="164" fontId="2" fillId="4" borderId="23" xfId="1" applyNumberFormat="1" applyFont="1" applyFill="1" applyBorder="1" applyAlignment="1">
      <alignment horizontal="center" vertical="center"/>
    </xf>
    <xf numFmtId="2" fontId="2" fillId="2" borderId="26" xfId="1" applyNumberFormat="1" applyFont="1" applyFill="1" applyBorder="1" applyAlignment="1" applyProtection="1">
      <alignment horizontal="center" vertical="center"/>
      <protection locked="0"/>
    </xf>
    <xf numFmtId="2" fontId="2" fillId="4" borderId="25" xfId="1" applyNumberFormat="1" applyFont="1" applyFill="1" applyBorder="1" applyAlignment="1">
      <alignment horizontal="center" vertical="center"/>
    </xf>
    <xf numFmtId="2" fontId="2" fillId="2" borderId="22" xfId="1" applyNumberFormat="1" applyFont="1" applyFill="1" applyBorder="1" applyAlignment="1" applyProtection="1">
      <alignment horizontal="center" vertical="center"/>
      <protection locked="0"/>
    </xf>
    <xf numFmtId="2" fontId="2" fillId="2" borderId="23" xfId="1" applyNumberFormat="1" applyFont="1" applyFill="1" applyBorder="1" applyAlignment="1" applyProtection="1">
      <alignment horizontal="center" vertical="center"/>
      <protection locked="0"/>
    </xf>
    <xf numFmtId="49" fontId="2" fillId="2" borderId="24" xfId="1" applyNumberFormat="1" applyFont="1" applyFill="1" applyBorder="1" applyAlignment="1" applyProtection="1">
      <alignment horizontal="center" vertical="center"/>
      <protection locked="0"/>
    </xf>
    <xf numFmtId="169" fontId="2" fillId="2" borderId="22" xfId="1" applyNumberFormat="1" applyFont="1" applyFill="1" applyBorder="1" applyAlignment="1">
      <alignment horizontal="center" vertical="center"/>
    </xf>
    <xf numFmtId="2" fontId="2" fillId="2" borderId="24" xfId="1" applyNumberFormat="1" applyFont="1" applyFill="1" applyBorder="1" applyAlignment="1">
      <alignment horizontal="center" vertical="center"/>
    </xf>
    <xf numFmtId="0" fontId="2" fillId="2" borderId="24" xfId="1" applyFont="1" applyFill="1" applyBorder="1" applyAlignment="1">
      <alignment horizontal="center" vertical="center"/>
    </xf>
    <xf numFmtId="2" fontId="2" fillId="4" borderId="23" xfId="1" applyNumberFormat="1" applyFont="1" applyFill="1" applyBorder="1" applyAlignment="1">
      <alignment horizontal="center" vertical="center"/>
    </xf>
    <xf numFmtId="2" fontId="2" fillId="2" borderId="26" xfId="1" applyNumberFormat="1" applyFont="1" applyFill="1" applyBorder="1" applyAlignment="1">
      <alignment horizontal="center" vertical="center"/>
    </xf>
    <xf numFmtId="2" fontId="2" fillId="4" borderId="22" xfId="1" applyNumberFormat="1" applyFont="1" applyFill="1" applyBorder="1" applyAlignment="1">
      <alignment horizontal="center" vertical="center"/>
    </xf>
    <xf numFmtId="1" fontId="2" fillId="4" borderId="26" xfId="1" applyNumberFormat="1" applyFont="1" applyFill="1" applyBorder="1" applyAlignment="1">
      <alignment horizontal="center" vertical="center"/>
    </xf>
    <xf numFmtId="2" fontId="2" fillId="4" borderId="21" xfId="1" applyNumberFormat="1" applyFont="1" applyFill="1" applyBorder="1" applyAlignment="1">
      <alignment horizontal="center" vertical="center"/>
    </xf>
    <xf numFmtId="49" fontId="2" fillId="2" borderId="22" xfId="1" applyNumberFormat="1" applyFont="1" applyFill="1" applyBorder="1" applyAlignment="1" applyProtection="1">
      <alignment horizontal="center" vertical="center"/>
      <protection locked="0"/>
    </xf>
    <xf numFmtId="170" fontId="2" fillId="2" borderId="25" xfId="1" applyNumberFormat="1" applyFont="1" applyFill="1" applyBorder="1" applyAlignment="1" applyProtection="1">
      <alignment horizontal="center" vertical="center"/>
      <protection locked="0"/>
    </xf>
    <xf numFmtId="0" fontId="2" fillId="2" borderId="25" xfId="1" applyFont="1" applyFill="1" applyBorder="1" applyAlignment="1" applyProtection="1">
      <alignment horizontal="center" vertical="center" wrapText="1"/>
      <protection locked="0"/>
    </xf>
    <xf numFmtId="49" fontId="2" fillId="2" borderId="24" xfId="1" applyNumberFormat="1" applyFont="1" applyFill="1" applyBorder="1" applyAlignment="1">
      <alignment horizontal="center" vertical="center"/>
    </xf>
    <xf numFmtId="0" fontId="2" fillId="2" borderId="0" xfId="1" applyFont="1" applyFill="1" applyAlignment="1">
      <alignment horizontal="center" vertical="center" wrapText="1"/>
    </xf>
    <xf numFmtId="165" fontId="9" fillId="2" borderId="0" xfId="1" applyNumberFormat="1" applyFont="1" applyFill="1" applyAlignment="1">
      <alignment horizontal="center" vertical="center"/>
    </xf>
    <xf numFmtId="165" fontId="2" fillId="2" borderId="0" xfId="1" applyNumberFormat="1" applyFont="1" applyFill="1" applyAlignment="1">
      <alignment horizontal="center" vertical="center"/>
    </xf>
    <xf numFmtId="166" fontId="6" fillId="2" borderId="0" xfId="1" applyNumberFormat="1" applyFont="1" applyFill="1" applyAlignment="1">
      <alignment horizontal="center" vertical="center"/>
    </xf>
    <xf numFmtId="49" fontId="2" fillId="2" borderId="0" xfId="1" applyNumberFormat="1" applyFont="1" applyFill="1" applyAlignment="1">
      <alignment horizontal="center" vertical="center" wrapText="1"/>
    </xf>
    <xf numFmtId="169" fontId="2" fillId="2" borderId="0" xfId="1" applyNumberFormat="1" applyFont="1" applyFill="1" applyAlignment="1">
      <alignment horizontal="center" vertical="center"/>
    </xf>
    <xf numFmtId="167" fontId="2" fillId="2" borderId="0" xfId="1" applyNumberFormat="1" applyFont="1" applyFill="1" applyAlignment="1">
      <alignment horizontal="center" vertical="center"/>
    </xf>
    <xf numFmtId="168" fontId="2" fillId="2" borderId="0" xfId="1" applyNumberFormat="1" applyFont="1" applyFill="1" applyAlignment="1">
      <alignment horizontal="center" vertical="center"/>
    </xf>
    <xf numFmtId="49" fontId="2" fillId="2" borderId="0" xfId="1" applyNumberFormat="1" applyFont="1" applyFill="1" applyAlignment="1">
      <alignment horizontal="center" vertical="center"/>
    </xf>
    <xf numFmtId="0" fontId="2" fillId="2" borderId="6" xfId="1" applyFont="1" applyFill="1" applyBorder="1" applyAlignment="1">
      <alignment horizontal="center" vertical="center"/>
    </xf>
    <xf numFmtId="0" fontId="6" fillId="2" borderId="6" xfId="1" applyFont="1" applyFill="1" applyBorder="1" applyAlignment="1">
      <alignment horizontal="center" vertical="center"/>
    </xf>
    <xf numFmtId="0" fontId="2" fillId="2" borderId="6" xfId="1" applyFont="1" applyFill="1" applyBorder="1" applyAlignment="1">
      <alignment horizontal="center" vertical="center" wrapText="1"/>
    </xf>
    <xf numFmtId="165" fontId="9" fillId="2" borderId="6" xfId="1" applyNumberFormat="1" applyFont="1" applyFill="1" applyBorder="1" applyAlignment="1">
      <alignment horizontal="center" vertical="center"/>
    </xf>
    <xf numFmtId="165" fontId="2" fillId="2" borderId="6" xfId="1" applyNumberFormat="1" applyFont="1" applyFill="1" applyBorder="1" applyAlignment="1">
      <alignment horizontal="center" vertical="center"/>
    </xf>
    <xf numFmtId="166" fontId="2" fillId="2" borderId="6" xfId="1" applyNumberFormat="1" applyFont="1" applyFill="1" applyBorder="1" applyAlignment="1">
      <alignment horizontal="center" vertical="center"/>
    </xf>
    <xf numFmtId="0" fontId="6" fillId="2" borderId="6" xfId="1" applyFont="1" applyFill="1" applyBorder="1" applyAlignment="1">
      <alignment vertical="center"/>
    </xf>
    <xf numFmtId="166" fontId="6" fillId="2" borderId="6"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wrapText="1"/>
    </xf>
    <xf numFmtId="2" fontId="2" fillId="2" borderId="6" xfId="1" applyNumberFormat="1" applyFont="1" applyFill="1" applyBorder="1" applyAlignment="1">
      <alignment horizontal="center" vertical="center"/>
    </xf>
    <xf numFmtId="169" fontId="2" fillId="2" borderId="6" xfId="1" applyNumberFormat="1" applyFont="1" applyFill="1" applyBorder="1" applyAlignment="1">
      <alignment horizontal="center" vertical="center"/>
    </xf>
    <xf numFmtId="167" fontId="2" fillId="2" borderId="6" xfId="1" applyNumberFormat="1" applyFont="1" applyFill="1" applyBorder="1" applyAlignment="1">
      <alignment horizontal="center" vertical="center"/>
    </xf>
    <xf numFmtId="168" fontId="2" fillId="2" borderId="6" xfId="1" applyNumberFormat="1" applyFont="1" applyFill="1" applyBorder="1" applyAlignment="1">
      <alignment horizontal="center" vertical="center"/>
    </xf>
    <xf numFmtId="1" fontId="2" fillId="2" borderId="6" xfId="1" applyNumberFormat="1" applyFont="1" applyFill="1" applyBorder="1" applyAlignment="1">
      <alignment horizontal="center" vertical="center"/>
    </xf>
    <xf numFmtId="164" fontId="2" fillId="2" borderId="6"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0" fontId="8" fillId="5" borderId="9" xfId="1" applyFont="1" applyFill="1" applyBorder="1" applyAlignment="1">
      <alignment horizontal="center" vertical="center" wrapText="1"/>
    </xf>
    <xf numFmtId="166" fontId="8" fillId="5" borderId="12" xfId="1" applyNumberFormat="1" applyFont="1" applyFill="1" applyBorder="1" applyAlignment="1">
      <alignment horizontal="center" vertical="center" wrapText="1"/>
    </xf>
    <xf numFmtId="0" fontId="8" fillId="5" borderId="12" xfId="1" applyFont="1" applyFill="1" applyBorder="1" applyAlignment="1">
      <alignment horizontal="center" vertical="center" wrapText="1"/>
    </xf>
    <xf numFmtId="0" fontId="8" fillId="5" borderId="12" xfId="1" applyFont="1" applyFill="1" applyBorder="1" applyAlignment="1">
      <alignment horizontal="center" vertical="center"/>
    </xf>
    <xf numFmtId="49" fontId="2" fillId="5" borderId="12" xfId="1" applyNumberFormat="1" applyFont="1" applyFill="1" applyBorder="1" applyAlignment="1">
      <alignment horizontal="center" vertical="center" wrapText="1"/>
    </xf>
    <xf numFmtId="2" fontId="2" fillId="5" borderId="13" xfId="1" applyNumberFormat="1" applyFont="1" applyFill="1" applyBorder="1" applyAlignment="1">
      <alignment horizontal="center" vertical="center" wrapText="1"/>
    </xf>
    <xf numFmtId="2" fontId="2" fillId="5" borderId="10" xfId="1" applyNumberFormat="1" applyFont="1" applyFill="1" applyBorder="1" applyAlignment="1">
      <alignment horizontal="center" vertical="center" wrapText="1"/>
    </xf>
    <xf numFmtId="2" fontId="2" fillId="5" borderId="12" xfId="1" applyNumberFormat="1" applyFont="1" applyFill="1" applyBorder="1" applyAlignment="1">
      <alignment horizontal="center" vertical="center" wrapText="1"/>
    </xf>
    <xf numFmtId="0" fontId="2" fillId="5" borderId="12" xfId="1" applyFont="1" applyFill="1" applyBorder="1" applyAlignment="1">
      <alignment horizontal="center" vertical="center" wrapText="1"/>
    </xf>
    <xf numFmtId="168" fontId="2" fillId="5" borderId="13" xfId="1" applyNumberFormat="1" applyFont="1" applyFill="1" applyBorder="1" applyAlignment="1">
      <alignment horizontal="center" vertical="center" wrapText="1"/>
    </xf>
    <xf numFmtId="1" fontId="2" fillId="5" borderId="14" xfId="1" applyNumberFormat="1" applyFont="1" applyFill="1" applyBorder="1" applyAlignment="1">
      <alignment horizontal="center" vertical="center"/>
    </xf>
    <xf numFmtId="1" fontId="2" fillId="5" borderId="12" xfId="1" applyNumberFormat="1" applyFont="1" applyFill="1" applyBorder="1" applyAlignment="1">
      <alignment horizontal="center" vertical="center"/>
    </xf>
    <xf numFmtId="1" fontId="2" fillId="5" borderId="12" xfId="1" applyNumberFormat="1" applyFont="1" applyFill="1" applyBorder="1" applyAlignment="1">
      <alignment horizontal="center" vertical="center" wrapText="1"/>
    </xf>
    <xf numFmtId="1" fontId="2" fillId="5" borderId="13" xfId="1" applyNumberFormat="1" applyFont="1" applyFill="1" applyBorder="1" applyAlignment="1">
      <alignment horizontal="center" vertical="center"/>
    </xf>
    <xf numFmtId="165" fontId="2" fillId="5" borderId="10" xfId="1" applyNumberFormat="1" applyFont="1" applyFill="1" applyBorder="1" applyAlignment="1">
      <alignment horizontal="center" vertical="center" wrapText="1"/>
    </xf>
    <xf numFmtId="164" fontId="2" fillId="5" borderId="12" xfId="1" applyNumberFormat="1" applyFont="1" applyFill="1" applyBorder="1" applyAlignment="1">
      <alignment horizontal="center" vertical="center" wrapText="1"/>
    </xf>
    <xf numFmtId="164" fontId="2" fillId="5" borderId="11" xfId="1" applyNumberFormat="1" applyFont="1" applyFill="1" applyBorder="1" applyAlignment="1">
      <alignment horizontal="center" vertical="center" wrapText="1"/>
    </xf>
    <xf numFmtId="2" fontId="2" fillId="5" borderId="14" xfId="1" applyNumberFormat="1" applyFont="1" applyFill="1" applyBorder="1" applyAlignment="1">
      <alignment horizontal="center" vertical="center"/>
    </xf>
    <xf numFmtId="2" fontId="2" fillId="5" borderId="12" xfId="1" applyNumberFormat="1" applyFont="1" applyFill="1" applyBorder="1" applyAlignment="1">
      <alignment horizontal="center" vertical="center"/>
    </xf>
    <xf numFmtId="2" fontId="2" fillId="5" borderId="11" xfId="1" applyNumberFormat="1" applyFont="1" applyFill="1" applyBorder="1" applyAlignment="1">
      <alignment horizontal="center" vertical="center" wrapText="1"/>
    </xf>
    <xf numFmtId="0" fontId="2" fillId="5" borderId="10" xfId="1" applyFont="1" applyFill="1" applyBorder="1" applyAlignment="1">
      <alignment horizontal="center" vertical="center"/>
    </xf>
    <xf numFmtId="0" fontId="2" fillId="5" borderId="12" xfId="1" applyFont="1" applyFill="1" applyBorder="1" applyAlignment="1">
      <alignment horizontal="center" vertical="center"/>
    </xf>
    <xf numFmtId="2" fontId="2" fillId="5" borderId="10" xfId="1" applyNumberFormat="1" applyFont="1" applyFill="1" applyBorder="1" applyAlignment="1">
      <alignment horizontal="center" vertical="center"/>
    </xf>
    <xf numFmtId="0" fontId="2" fillId="5" borderId="13"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2" fillId="5" borderId="11" xfId="1" applyFont="1" applyFill="1" applyBorder="1" applyAlignment="1">
      <alignment horizontal="center" vertical="center" wrapText="1"/>
    </xf>
    <xf numFmtId="2" fontId="2" fillId="5" borderId="14" xfId="1" applyNumberFormat="1" applyFont="1" applyFill="1" applyBorder="1" applyAlignment="1">
      <alignment horizontal="center" vertical="center" wrapText="1"/>
    </xf>
    <xf numFmtId="0" fontId="2" fillId="5" borderId="9" xfId="1" applyFont="1" applyFill="1" applyBorder="1" applyAlignment="1">
      <alignment horizontal="center" vertical="center" wrapText="1"/>
    </xf>
    <xf numFmtId="165" fontId="9" fillId="2" borderId="9" xfId="1" applyNumberFormat="1" applyFont="1" applyFill="1" applyBorder="1" applyAlignment="1">
      <alignment horizontal="center" vertical="center"/>
    </xf>
    <xf numFmtId="165" fontId="2" fillId="2" borderId="10" xfId="1" applyNumberFormat="1" applyFont="1" applyFill="1" applyBorder="1" applyAlignment="1">
      <alignment horizontal="center" vertical="center"/>
    </xf>
    <xf numFmtId="166" fontId="2" fillId="2" borderId="12" xfId="1" applyNumberFormat="1" applyFont="1" applyFill="1" applyBorder="1" applyAlignment="1">
      <alignment horizontal="center" vertical="center"/>
    </xf>
    <xf numFmtId="0" fontId="6" fillId="2" borderId="12" xfId="1" applyFont="1" applyFill="1" applyBorder="1" applyAlignment="1">
      <alignment vertical="center"/>
    </xf>
    <xf numFmtId="166" fontId="6" fillId="2" borderId="12" xfId="1" applyNumberFormat="1" applyFont="1" applyFill="1" applyBorder="1" applyAlignment="1">
      <alignment horizontal="center" vertical="center"/>
    </xf>
    <xf numFmtId="49" fontId="2" fillId="2" borderId="12" xfId="1" applyNumberFormat="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2" fontId="2" fillId="2" borderId="12" xfId="1" applyNumberFormat="1" applyFont="1" applyFill="1" applyBorder="1" applyAlignment="1">
      <alignment horizontal="center" vertical="center"/>
    </xf>
    <xf numFmtId="169" fontId="2" fillId="2" borderId="12" xfId="1" applyNumberFormat="1" applyFont="1" applyFill="1" applyBorder="1" applyAlignment="1">
      <alignment horizontal="center" vertical="center"/>
    </xf>
    <xf numFmtId="167" fontId="2" fillId="2" borderId="12" xfId="1" applyNumberFormat="1" applyFont="1" applyFill="1" applyBorder="1" applyAlignment="1">
      <alignment horizontal="center" vertical="center"/>
    </xf>
    <xf numFmtId="168" fontId="2" fillId="2" borderId="13" xfId="1" applyNumberFormat="1" applyFont="1" applyFill="1" applyBorder="1" applyAlignment="1">
      <alignment horizontal="center" vertical="center"/>
    </xf>
    <xf numFmtId="1" fontId="2" fillId="2" borderId="14" xfId="1" applyNumberFormat="1" applyFont="1" applyFill="1" applyBorder="1" applyAlignment="1">
      <alignment horizontal="center" vertical="center"/>
    </xf>
    <xf numFmtId="1" fontId="2" fillId="2" borderId="12" xfId="1" applyNumberFormat="1" applyFont="1" applyFill="1" applyBorder="1" applyAlignment="1">
      <alignment horizontal="center" vertical="center"/>
    </xf>
    <xf numFmtId="1" fontId="2" fillId="2" borderId="13" xfId="1" applyNumberFormat="1" applyFont="1" applyFill="1" applyBorder="1" applyAlignment="1">
      <alignment horizontal="center" vertical="center"/>
    </xf>
    <xf numFmtId="165" fontId="2" fillId="2" borderId="12" xfId="1" applyNumberFormat="1" applyFont="1" applyFill="1" applyBorder="1" applyAlignment="1">
      <alignment horizontal="center" vertical="center"/>
    </xf>
    <xf numFmtId="164" fontId="2" fillId="2" borderId="12" xfId="1" applyNumberFormat="1" applyFont="1" applyFill="1" applyBorder="1" applyAlignment="1">
      <alignment horizontal="center" vertical="center"/>
    </xf>
    <xf numFmtId="164" fontId="2" fillId="2" borderId="11" xfId="1" applyNumberFormat="1" applyFont="1" applyFill="1" applyBorder="1" applyAlignment="1">
      <alignment horizontal="center" vertical="center"/>
    </xf>
    <xf numFmtId="2" fontId="2" fillId="2" borderId="14" xfId="1" applyNumberFormat="1" applyFont="1" applyFill="1" applyBorder="1" applyAlignment="1">
      <alignment horizontal="center" vertical="center"/>
    </xf>
    <xf numFmtId="2" fontId="2" fillId="2" borderId="13" xfId="1" applyNumberFormat="1" applyFont="1" applyFill="1" applyBorder="1" applyAlignment="1">
      <alignment horizontal="center" vertical="center"/>
    </xf>
    <xf numFmtId="2" fontId="2" fillId="2" borderId="10" xfId="1" applyNumberFormat="1" applyFont="1" applyFill="1" applyBorder="1" applyAlignment="1">
      <alignment horizontal="center" vertical="center"/>
    </xf>
    <xf numFmtId="2" fontId="2" fillId="2" borderId="11" xfId="1" applyNumberFormat="1" applyFont="1" applyFill="1" applyBorder="1" applyAlignment="1">
      <alignment horizontal="center" vertical="center"/>
    </xf>
    <xf numFmtId="49" fontId="2" fillId="2" borderId="12" xfId="1" applyNumberFormat="1" applyFont="1" applyFill="1" applyBorder="1" applyAlignment="1">
      <alignment horizontal="center" vertical="center"/>
    </xf>
    <xf numFmtId="169" fontId="2" fillId="2" borderId="10" xfId="1" applyNumberFormat="1" applyFont="1" applyFill="1" applyBorder="1" applyAlignment="1">
      <alignment horizontal="center" vertical="center"/>
    </xf>
    <xf numFmtId="2" fontId="2" fillId="2" borderId="9" xfId="1" applyNumberFormat="1" applyFont="1" applyFill="1" applyBorder="1" applyAlignment="1">
      <alignment horizontal="center"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xf>
    <xf numFmtId="166" fontId="2" fillId="2" borderId="24" xfId="1" applyNumberFormat="1" applyFont="1" applyFill="1" applyBorder="1" applyAlignment="1">
      <alignment horizontal="center" vertical="center"/>
    </xf>
    <xf numFmtId="0" fontId="2" fillId="2" borderId="24" xfId="1" applyFont="1" applyFill="1" applyBorder="1" applyAlignment="1">
      <alignment vertical="center"/>
    </xf>
    <xf numFmtId="49" fontId="2" fillId="2" borderId="24" xfId="1" applyNumberFormat="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2" xfId="1" applyFont="1" applyFill="1" applyBorder="1" applyAlignment="1">
      <alignment horizontal="center" vertical="center"/>
    </xf>
    <xf numFmtId="169" fontId="2" fillId="2" borderId="24" xfId="1" applyNumberFormat="1" applyFont="1" applyFill="1" applyBorder="1" applyAlignment="1">
      <alignment horizontal="center" vertical="center"/>
    </xf>
    <xf numFmtId="1" fontId="2" fillId="2" borderId="26" xfId="1" applyNumberFormat="1" applyFont="1" applyFill="1" applyBorder="1" applyAlignment="1">
      <alignment horizontal="center" vertical="center"/>
    </xf>
    <xf numFmtId="1" fontId="2" fillId="2" borderId="24" xfId="1" applyNumberFormat="1" applyFont="1" applyFill="1" applyBorder="1" applyAlignment="1">
      <alignment horizontal="center" vertical="center"/>
    </xf>
    <xf numFmtId="165" fontId="2" fillId="2" borderId="22" xfId="1" applyNumberFormat="1" applyFont="1" applyFill="1" applyBorder="1" applyAlignment="1">
      <alignment horizontal="center" vertical="center"/>
    </xf>
    <xf numFmtId="165" fontId="2" fillId="2" borderId="24" xfId="1" applyNumberFormat="1" applyFont="1" applyFill="1" applyBorder="1" applyAlignment="1">
      <alignment horizontal="center" vertical="center"/>
    </xf>
    <xf numFmtId="164" fontId="2" fillId="2" borderId="24" xfId="1" applyNumberFormat="1" applyFont="1" applyFill="1" applyBorder="1" applyAlignment="1">
      <alignment horizontal="center" vertical="center"/>
    </xf>
    <xf numFmtId="2" fontId="2" fillId="2" borderId="22" xfId="1" applyNumberFormat="1" applyFont="1" applyFill="1" applyBorder="1" applyAlignment="1">
      <alignment horizontal="center" vertical="center"/>
    </xf>
    <xf numFmtId="2" fontId="2" fillId="2" borderId="23" xfId="1" applyNumberFormat="1" applyFont="1" applyFill="1" applyBorder="1" applyAlignment="1">
      <alignment horizontal="center" vertical="center"/>
    </xf>
    <xf numFmtId="49" fontId="2" fillId="2" borderId="22" xfId="1" applyNumberFormat="1" applyFont="1" applyFill="1" applyBorder="1" applyAlignment="1">
      <alignment horizontal="center" vertical="center"/>
    </xf>
    <xf numFmtId="170" fontId="2" fillId="2" borderId="25" xfId="1" applyNumberFormat="1" applyFont="1" applyFill="1" applyBorder="1" applyAlignment="1">
      <alignment horizontal="center" vertical="center"/>
    </xf>
    <xf numFmtId="0" fontId="2" fillId="2" borderId="25" xfId="1" applyFont="1" applyFill="1" applyBorder="1" applyAlignment="1">
      <alignment horizontal="center" vertical="center"/>
    </xf>
    <xf numFmtId="0" fontId="1" fillId="2" borderId="0" xfId="1" applyFill="1"/>
    <xf numFmtId="0" fontId="1" fillId="2" borderId="19" xfId="1" applyFill="1" applyBorder="1" applyAlignment="1">
      <alignment horizontal="center"/>
    </xf>
    <xf numFmtId="165" fontId="1" fillId="2" borderId="17" xfId="1" applyNumberFormat="1" applyFill="1" applyBorder="1" applyAlignment="1">
      <alignment horizontal="center"/>
    </xf>
    <xf numFmtId="0" fontId="1" fillId="2" borderId="0" xfId="1" applyFill="1" applyAlignment="1">
      <alignment horizontal="center"/>
    </xf>
    <xf numFmtId="164" fontId="1" fillId="2" borderId="17" xfId="1" applyNumberFormat="1" applyFill="1" applyBorder="1" applyAlignment="1">
      <alignment horizontal="center"/>
    </xf>
    <xf numFmtId="0" fontId="1" fillId="2" borderId="14" xfId="1" applyFill="1" applyBorder="1" applyAlignment="1">
      <alignment horizontal="center"/>
    </xf>
    <xf numFmtId="2" fontId="1" fillId="2" borderId="13" xfId="1" applyNumberFormat="1" applyFill="1" applyBorder="1" applyAlignment="1">
      <alignment horizontal="center"/>
    </xf>
    <xf numFmtId="171" fontId="1" fillId="2" borderId="17" xfId="1" applyNumberFormat="1" applyFill="1" applyBorder="1" applyAlignment="1">
      <alignment horizontal="center"/>
    </xf>
    <xf numFmtId="0" fontId="1" fillId="2" borderId="26" xfId="1" applyFill="1" applyBorder="1" applyAlignment="1">
      <alignment horizontal="center"/>
    </xf>
    <xf numFmtId="165" fontId="1" fillId="2" borderId="25" xfId="1" applyNumberFormat="1" applyFill="1" applyBorder="1" applyAlignment="1">
      <alignment horizontal="center"/>
    </xf>
    <xf numFmtId="164" fontId="1" fillId="2" borderId="25" xfId="1" applyNumberFormat="1" applyFill="1" applyBorder="1" applyAlignment="1">
      <alignment horizontal="center"/>
    </xf>
    <xf numFmtId="0" fontId="1" fillId="2" borderId="27" xfId="1" applyFill="1" applyBorder="1" applyAlignment="1">
      <alignment horizontal="center"/>
    </xf>
    <xf numFmtId="165" fontId="1" fillId="2" borderId="28" xfId="1" applyNumberFormat="1" applyFill="1" applyBorder="1" applyAlignment="1">
      <alignment horizontal="center"/>
    </xf>
    <xf numFmtId="0" fontId="1" fillId="2" borderId="29" xfId="1" applyFill="1" applyBorder="1" applyAlignment="1">
      <alignment horizontal="center"/>
    </xf>
    <xf numFmtId="165" fontId="1" fillId="2" borderId="30" xfId="1" applyNumberFormat="1" applyFill="1" applyBorder="1" applyAlignment="1">
      <alignment horizontal="center"/>
    </xf>
    <xf numFmtId="0" fontId="1" fillId="2" borderId="1" xfId="1" applyFill="1" applyBorder="1" applyAlignment="1">
      <alignment horizontal="center"/>
    </xf>
    <xf numFmtId="164" fontId="1" fillId="2" borderId="28" xfId="1" applyNumberFormat="1" applyFill="1" applyBorder="1" applyAlignment="1">
      <alignment horizontal="center"/>
    </xf>
    <xf numFmtId="170" fontId="1" fillId="2" borderId="28" xfId="1" applyNumberFormat="1" applyFill="1" applyBorder="1" applyAlignment="1">
      <alignment horizontal="center"/>
    </xf>
    <xf numFmtId="0" fontId="2" fillId="6" borderId="0" xfId="1" applyFont="1" applyFill="1" applyAlignment="1">
      <alignment vertical="center"/>
    </xf>
    <xf numFmtId="169" fontId="2" fillId="2" borderId="24" xfId="1" applyNumberFormat="1" applyFont="1" applyFill="1" applyBorder="1" applyAlignment="1" applyProtection="1">
      <alignment horizontal="center" vertical="center"/>
      <protection locked="0"/>
    </xf>
    <xf numFmtId="170" fontId="2" fillId="2" borderId="22" xfId="1" applyNumberFormat="1" applyFont="1" applyFill="1" applyBorder="1" applyAlignment="1" applyProtection="1">
      <alignment horizontal="center" vertical="center"/>
      <protection locked="0"/>
    </xf>
    <xf numFmtId="0" fontId="2" fillId="2" borderId="24" xfId="1" applyFont="1" applyFill="1" applyBorder="1" applyAlignment="1" applyProtection="1">
      <alignment vertical="center" wrapText="1"/>
      <protection locked="0"/>
    </xf>
    <xf numFmtId="0" fontId="2" fillId="0" borderId="0" xfId="1" applyFont="1" applyAlignment="1">
      <alignment vertical="center"/>
    </xf>
    <xf numFmtId="0" fontId="7" fillId="0" borderId="21" xfId="1" applyFont="1" applyBorder="1" applyAlignment="1" applyProtection="1">
      <alignment horizontal="center" vertical="center"/>
      <protection locked="0"/>
    </xf>
    <xf numFmtId="0" fontId="2" fillId="0" borderId="22" xfId="1" applyFont="1" applyBorder="1" applyAlignment="1" applyProtection="1">
      <alignment horizontal="center" vertical="center" wrapText="1"/>
      <protection locked="0"/>
    </xf>
    <xf numFmtId="0" fontId="2" fillId="0" borderId="23" xfId="1" applyFont="1" applyBorder="1" applyAlignment="1" applyProtection="1">
      <alignment horizontal="center" vertical="center"/>
      <protection locked="0"/>
    </xf>
    <xf numFmtId="165" fontId="2" fillId="0" borderId="22" xfId="1" applyNumberFormat="1" applyFont="1" applyBorder="1" applyAlignment="1">
      <alignment horizontal="center" vertical="center"/>
    </xf>
    <xf numFmtId="166" fontId="2" fillId="0" borderId="24" xfId="1" applyNumberFormat="1" applyFont="1" applyBorder="1" applyAlignment="1" applyProtection="1">
      <alignment horizontal="center" vertical="center"/>
      <protection locked="0"/>
    </xf>
    <xf numFmtId="0" fontId="2" fillId="0" borderId="24" xfId="1" applyFont="1" applyBorder="1" applyAlignment="1" applyProtection="1">
      <alignment vertical="center"/>
      <protection locked="0"/>
    </xf>
    <xf numFmtId="166" fontId="6" fillId="0" borderId="24" xfId="1" applyNumberFormat="1" applyFont="1" applyBorder="1" applyAlignment="1" applyProtection="1">
      <alignment horizontal="center" vertical="center"/>
      <protection locked="0"/>
    </xf>
    <xf numFmtId="49" fontId="2" fillId="0" borderId="24" xfId="1" applyNumberFormat="1" applyFont="1" applyBorder="1" applyAlignment="1" applyProtection="1">
      <alignment horizontal="center" vertical="center" wrapText="1"/>
      <protection locked="0"/>
    </xf>
    <xf numFmtId="0" fontId="2" fillId="0" borderId="25"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2" fontId="2" fillId="0" borderId="24" xfId="1" applyNumberFormat="1" applyFont="1" applyBorder="1" applyAlignment="1">
      <alignment horizontal="center" vertical="center"/>
    </xf>
    <xf numFmtId="2" fontId="2" fillId="0" borderId="24" xfId="1" applyNumberFormat="1" applyFont="1" applyBorder="1" applyAlignment="1" applyProtection="1">
      <alignment horizontal="center" vertical="center"/>
      <protection locked="0"/>
    </xf>
    <xf numFmtId="1" fontId="2" fillId="0" borderId="26" xfId="1" applyNumberFormat="1" applyFont="1" applyBorder="1" applyAlignment="1" applyProtection="1">
      <alignment horizontal="center" vertical="center"/>
      <protection locked="0"/>
    </xf>
    <xf numFmtId="1" fontId="2" fillId="0" borderId="24" xfId="1" applyNumberFormat="1" applyFont="1" applyBorder="1" applyAlignment="1" applyProtection="1">
      <alignment horizontal="center" vertical="center"/>
      <protection locked="0"/>
    </xf>
    <xf numFmtId="1" fontId="2" fillId="0" borderId="24" xfId="1" applyNumberFormat="1" applyFont="1" applyBorder="1" applyAlignment="1">
      <alignment horizontal="center" vertical="center"/>
    </xf>
    <xf numFmtId="165" fontId="2" fillId="0" borderId="22" xfId="1" applyNumberFormat="1" applyFont="1" applyBorder="1" applyAlignment="1" applyProtection="1">
      <alignment horizontal="center" vertical="center"/>
      <protection locked="0"/>
    </xf>
    <xf numFmtId="165" fontId="2" fillId="0" borderId="24" xfId="1" applyNumberFormat="1" applyFont="1" applyBorder="1" applyAlignment="1" applyProtection="1">
      <alignment horizontal="center" vertical="center"/>
      <protection locked="0"/>
    </xf>
    <xf numFmtId="164" fontId="2" fillId="0" borderId="24" xfId="1" applyNumberFormat="1" applyFont="1" applyBorder="1" applyAlignment="1" applyProtection="1">
      <alignment horizontal="center" vertical="center"/>
      <protection locked="0"/>
    </xf>
    <xf numFmtId="2" fontId="2" fillId="0" borderId="26" xfId="1" applyNumberFormat="1" applyFont="1" applyBorder="1" applyAlignment="1" applyProtection="1">
      <alignment horizontal="center" vertical="center"/>
      <protection locked="0"/>
    </xf>
    <xf numFmtId="2" fontId="2" fillId="0" borderId="22" xfId="1" applyNumberFormat="1" applyFont="1" applyBorder="1" applyAlignment="1" applyProtection="1">
      <alignment horizontal="center" vertical="center"/>
      <protection locked="0"/>
    </xf>
    <xf numFmtId="2" fontId="2" fillId="0" borderId="23" xfId="1" applyNumberFormat="1" applyFont="1" applyBorder="1" applyAlignment="1" applyProtection="1">
      <alignment horizontal="center" vertical="center"/>
      <protection locked="0"/>
    </xf>
    <xf numFmtId="49" fontId="2" fillId="0" borderId="24" xfId="1" applyNumberFormat="1" applyFont="1" applyBorder="1" applyAlignment="1" applyProtection="1">
      <alignment horizontal="center" vertical="center"/>
      <protection locked="0"/>
    </xf>
    <xf numFmtId="0" fontId="2" fillId="0" borderId="24" xfId="1" applyFont="1" applyBorder="1" applyAlignment="1">
      <alignment horizontal="center" vertical="center"/>
    </xf>
    <xf numFmtId="2" fontId="2" fillId="0" borderId="23" xfId="1" applyNumberFormat="1" applyFont="1" applyBorder="1" applyAlignment="1">
      <alignment horizontal="center" vertical="center"/>
    </xf>
    <xf numFmtId="2" fontId="2" fillId="0" borderId="26" xfId="1" applyNumberFormat="1" applyFont="1" applyBorder="1" applyAlignment="1">
      <alignment horizontal="center" vertical="center"/>
    </xf>
    <xf numFmtId="2" fontId="2" fillId="0" borderId="22" xfId="1" applyNumberFormat="1" applyFont="1" applyBorder="1" applyAlignment="1">
      <alignment horizontal="center" vertical="center"/>
    </xf>
    <xf numFmtId="1" fontId="2" fillId="0" borderId="26" xfId="1" applyNumberFormat="1" applyFont="1" applyBorder="1" applyAlignment="1">
      <alignment horizontal="center" vertical="center"/>
    </xf>
    <xf numFmtId="49" fontId="2" fillId="0" borderId="22" xfId="1" applyNumberFormat="1" applyFont="1" applyBorder="1" applyAlignment="1" applyProtection="1">
      <alignment horizontal="center" vertical="center"/>
      <protection locked="0"/>
    </xf>
    <xf numFmtId="170" fontId="2" fillId="0" borderId="25" xfId="1" applyNumberFormat="1" applyFont="1" applyBorder="1" applyAlignment="1" applyProtection="1">
      <alignment horizontal="center" vertical="center"/>
      <protection locked="0"/>
    </xf>
    <xf numFmtId="0" fontId="17" fillId="0" borderId="24" xfId="0" applyFont="1" applyBorder="1"/>
    <xf numFmtId="165" fontId="2" fillId="7" borderId="22" xfId="1" applyNumberFormat="1" applyFont="1" applyFill="1" applyBorder="1" applyAlignment="1">
      <alignment horizontal="center" vertical="center"/>
    </xf>
    <xf numFmtId="2" fontId="2" fillId="7" borderId="24" xfId="1" applyNumberFormat="1" applyFont="1" applyFill="1" applyBorder="1" applyAlignment="1">
      <alignment horizontal="center" vertical="center"/>
    </xf>
    <xf numFmtId="167" fontId="2" fillId="7" borderId="24" xfId="1" applyNumberFormat="1" applyFont="1" applyFill="1" applyBorder="1" applyAlignment="1">
      <alignment horizontal="center" vertical="center"/>
    </xf>
    <xf numFmtId="168" fontId="2" fillId="7" borderId="25" xfId="1" applyNumberFormat="1" applyFont="1" applyFill="1" applyBorder="1" applyAlignment="1">
      <alignment horizontal="center" vertical="center"/>
    </xf>
    <xf numFmtId="1" fontId="2" fillId="7" borderId="24" xfId="1" applyNumberFormat="1" applyFont="1" applyFill="1" applyBorder="1" applyAlignment="1">
      <alignment horizontal="center" vertical="center"/>
    </xf>
    <xf numFmtId="1" fontId="2" fillId="7" borderId="25" xfId="1" applyNumberFormat="1" applyFont="1" applyFill="1" applyBorder="1" applyAlignment="1">
      <alignment horizontal="center" vertical="center"/>
    </xf>
    <xf numFmtId="164" fontId="2" fillId="7" borderId="23" xfId="1" applyNumberFormat="1" applyFont="1" applyFill="1" applyBorder="1" applyAlignment="1">
      <alignment horizontal="center" vertical="center"/>
    </xf>
    <xf numFmtId="2" fontId="2" fillId="7" borderId="25" xfId="1" applyNumberFormat="1" applyFont="1" applyFill="1" applyBorder="1" applyAlignment="1">
      <alignment horizontal="center" vertical="center"/>
    </xf>
    <xf numFmtId="169" fontId="2" fillId="7" borderId="22" xfId="1" applyNumberFormat="1" applyFont="1" applyFill="1" applyBorder="1" applyAlignment="1">
      <alignment horizontal="center" vertical="center"/>
    </xf>
    <xf numFmtId="0" fontId="2" fillId="7" borderId="24" xfId="1" applyFont="1" applyFill="1" applyBorder="1" applyAlignment="1">
      <alignment horizontal="center" vertical="center"/>
    </xf>
    <xf numFmtId="2" fontId="2" fillId="7" borderId="23" xfId="1" applyNumberFormat="1" applyFont="1" applyFill="1" applyBorder="1" applyAlignment="1">
      <alignment horizontal="center" vertical="center"/>
    </xf>
    <xf numFmtId="2" fontId="2" fillId="7" borderId="26" xfId="1" applyNumberFormat="1" applyFont="1" applyFill="1" applyBorder="1" applyAlignment="1">
      <alignment horizontal="center" vertical="center"/>
    </xf>
    <xf numFmtId="2" fontId="2" fillId="7" borderId="22" xfId="1" applyNumberFormat="1" applyFont="1" applyFill="1" applyBorder="1" applyAlignment="1">
      <alignment horizontal="center" vertical="center"/>
    </xf>
    <xf numFmtId="1" fontId="2" fillId="7" borderId="26" xfId="1" applyNumberFormat="1" applyFont="1" applyFill="1" applyBorder="1" applyAlignment="1">
      <alignment horizontal="center" vertical="center"/>
    </xf>
    <xf numFmtId="2" fontId="2" fillId="7" borderId="21" xfId="1" applyNumberFormat="1" applyFont="1" applyFill="1" applyBorder="1" applyAlignment="1">
      <alignment horizontal="center" vertical="center"/>
    </xf>
    <xf numFmtId="1" fontId="2" fillId="2" borderId="31" xfId="1" applyNumberFormat="1" applyFont="1" applyFill="1" applyBorder="1" applyAlignment="1" applyProtection="1">
      <alignment horizontal="center" vertical="center"/>
      <protection locked="0"/>
    </xf>
    <xf numFmtId="1" fontId="2" fillId="2" borderId="32" xfId="1" applyNumberFormat="1" applyFont="1" applyFill="1" applyBorder="1" applyAlignment="1" applyProtection="1">
      <alignment horizontal="center" vertical="center"/>
      <protection locked="0"/>
    </xf>
    <xf numFmtId="0" fontId="3" fillId="2" borderId="24" xfId="1" applyFont="1" applyFill="1" applyBorder="1" applyAlignment="1">
      <alignment horizontal="center" vertical="center"/>
    </xf>
    <xf numFmtId="2" fontId="18" fillId="8" borderId="24" xfId="0" applyNumberFormat="1" applyFont="1" applyFill="1" applyBorder="1" applyAlignment="1" applyProtection="1">
      <alignment horizontal="center" vertical="center"/>
      <protection locked="0"/>
    </xf>
    <xf numFmtId="2" fontId="2" fillId="2" borderId="32" xfId="1" applyNumberFormat="1" applyFont="1" applyFill="1" applyBorder="1" applyAlignment="1" applyProtection="1">
      <alignment horizontal="center" vertical="center"/>
      <protection locked="0"/>
    </xf>
    <xf numFmtId="2" fontId="18" fillId="8" borderId="26" xfId="0" applyNumberFormat="1" applyFont="1" applyFill="1" applyBorder="1" applyAlignment="1" applyProtection="1">
      <alignment horizontal="center" vertical="center"/>
      <protection locked="0"/>
    </xf>
    <xf numFmtId="0" fontId="7" fillId="9" borderId="21" xfId="1" applyFont="1" applyFill="1" applyBorder="1" applyAlignment="1" applyProtection="1">
      <alignment horizontal="center" vertical="center"/>
      <protection locked="0"/>
    </xf>
    <xf numFmtId="0" fontId="2" fillId="9" borderId="22" xfId="1" applyFont="1" applyFill="1" applyBorder="1" applyAlignment="1" applyProtection="1">
      <alignment horizontal="center" vertical="center" wrapText="1"/>
      <protection locked="0"/>
    </xf>
    <xf numFmtId="0" fontId="2" fillId="9" borderId="23" xfId="1" applyFont="1" applyFill="1" applyBorder="1" applyAlignment="1" applyProtection="1">
      <alignment horizontal="center" vertical="center"/>
      <protection locked="0"/>
    </xf>
    <xf numFmtId="166" fontId="2" fillId="9" borderId="24" xfId="1" applyNumberFormat="1" applyFont="1" applyFill="1" applyBorder="1" applyAlignment="1" applyProtection="1">
      <alignment horizontal="center" vertical="center"/>
      <protection locked="0"/>
    </xf>
    <xf numFmtId="0" fontId="2" fillId="9" borderId="24" xfId="1" applyFont="1" applyFill="1" applyBorder="1" applyAlignment="1" applyProtection="1">
      <alignment vertical="center"/>
      <protection locked="0"/>
    </xf>
    <xf numFmtId="166" fontId="6" fillId="9" borderId="24" xfId="1" applyNumberFormat="1" applyFont="1" applyFill="1" applyBorder="1" applyAlignment="1" applyProtection="1">
      <alignment horizontal="center" vertical="center"/>
      <protection locked="0"/>
    </xf>
    <xf numFmtId="49" fontId="2" fillId="9" borderId="24" xfId="1" applyNumberFormat="1" applyFont="1" applyFill="1" applyBorder="1" applyAlignment="1" applyProtection="1">
      <alignment horizontal="center" vertical="center" wrapText="1"/>
      <protection locked="0"/>
    </xf>
    <xf numFmtId="0" fontId="2" fillId="9" borderId="25" xfId="1" applyFont="1" applyFill="1" applyBorder="1" applyAlignment="1" applyProtection="1">
      <alignment horizontal="center" vertical="center"/>
      <protection locked="0"/>
    </xf>
    <xf numFmtId="0" fontId="2" fillId="9" borderId="22" xfId="1" applyFont="1" applyFill="1" applyBorder="1" applyAlignment="1" applyProtection="1">
      <alignment horizontal="center" vertical="center"/>
      <protection locked="0"/>
    </xf>
    <xf numFmtId="0" fontId="2" fillId="9" borderId="24" xfId="1" applyFont="1" applyFill="1" applyBorder="1" applyAlignment="1" applyProtection="1">
      <alignment horizontal="center" vertical="center"/>
      <protection locked="0"/>
    </xf>
    <xf numFmtId="2" fontId="2" fillId="9" borderId="24" xfId="1" applyNumberFormat="1" applyFont="1" applyFill="1" applyBorder="1" applyAlignment="1" applyProtection="1">
      <alignment horizontal="center" vertical="center"/>
      <protection locked="0"/>
    </xf>
    <xf numFmtId="1" fontId="2" fillId="9" borderId="26" xfId="1" applyNumberFormat="1" applyFont="1" applyFill="1" applyBorder="1" applyAlignment="1" applyProtection="1">
      <alignment horizontal="center" vertical="center"/>
      <protection locked="0"/>
    </xf>
    <xf numFmtId="1" fontId="2" fillId="9" borderId="24" xfId="1" applyNumberFormat="1" applyFont="1" applyFill="1" applyBorder="1" applyAlignment="1" applyProtection="1">
      <alignment horizontal="center" vertical="center"/>
      <protection locked="0"/>
    </xf>
    <xf numFmtId="165" fontId="2" fillId="9" borderId="22" xfId="1" applyNumberFormat="1" applyFont="1" applyFill="1" applyBorder="1" applyAlignment="1" applyProtection="1">
      <alignment horizontal="center" vertical="center"/>
      <protection locked="0"/>
    </xf>
    <xf numFmtId="165" fontId="2" fillId="9" borderId="24" xfId="1" applyNumberFormat="1" applyFont="1" applyFill="1" applyBorder="1" applyAlignment="1" applyProtection="1">
      <alignment horizontal="center" vertical="center"/>
      <protection locked="0"/>
    </xf>
    <xf numFmtId="164" fontId="2" fillId="9" borderId="24" xfId="1" applyNumberFormat="1" applyFont="1" applyFill="1" applyBorder="1" applyAlignment="1" applyProtection="1">
      <alignment horizontal="center" vertical="center"/>
      <protection locked="0"/>
    </xf>
    <xf numFmtId="2" fontId="2" fillId="9" borderId="26" xfId="1" applyNumberFormat="1" applyFont="1" applyFill="1" applyBorder="1" applyAlignment="1" applyProtection="1">
      <alignment horizontal="center" vertical="center"/>
      <protection locked="0"/>
    </xf>
    <xf numFmtId="2" fontId="2" fillId="9" borderId="22" xfId="1" applyNumberFormat="1" applyFont="1" applyFill="1" applyBorder="1" applyAlignment="1" applyProtection="1">
      <alignment horizontal="center" vertical="center"/>
      <protection locked="0"/>
    </xf>
    <xf numFmtId="2" fontId="2" fillId="9" borderId="23" xfId="1" applyNumberFormat="1" applyFont="1" applyFill="1" applyBorder="1" applyAlignment="1" applyProtection="1">
      <alignment horizontal="center" vertical="center"/>
      <protection locked="0"/>
    </xf>
    <xf numFmtId="49" fontId="2" fillId="9" borderId="24" xfId="1" applyNumberFormat="1" applyFont="1" applyFill="1" applyBorder="1" applyAlignment="1" applyProtection="1">
      <alignment horizontal="center" vertical="center"/>
      <protection locked="0"/>
    </xf>
    <xf numFmtId="169" fontId="2" fillId="9" borderId="22" xfId="1" applyNumberFormat="1" applyFont="1" applyFill="1" applyBorder="1" applyAlignment="1">
      <alignment horizontal="center" vertical="center"/>
    </xf>
    <xf numFmtId="2" fontId="2" fillId="9" borderId="24" xfId="1" applyNumberFormat="1" applyFont="1" applyFill="1" applyBorder="1" applyAlignment="1">
      <alignment horizontal="center" vertical="center"/>
    </xf>
    <xf numFmtId="0" fontId="2" fillId="9" borderId="24" xfId="1" applyFont="1" applyFill="1" applyBorder="1" applyAlignment="1">
      <alignment horizontal="center" vertical="center"/>
    </xf>
    <xf numFmtId="2" fontId="2" fillId="9" borderId="26" xfId="1" applyNumberFormat="1" applyFont="1" applyFill="1" applyBorder="1" applyAlignment="1">
      <alignment horizontal="center" vertical="center"/>
    </xf>
    <xf numFmtId="0" fontId="0" fillId="8" borderId="0" xfId="0" applyFill="1"/>
    <xf numFmtId="0" fontId="2" fillId="9" borderId="0" xfId="1" applyFont="1" applyFill="1" applyAlignment="1">
      <alignment vertical="center"/>
    </xf>
    <xf numFmtId="1" fontId="2" fillId="4" borderId="23" xfId="1" applyNumberFormat="1" applyFont="1" applyFill="1" applyBorder="1" applyAlignment="1">
      <alignment horizontal="center" vertical="center"/>
    </xf>
    <xf numFmtId="1" fontId="2" fillId="2" borderId="23" xfId="1" applyNumberFormat="1" applyFont="1" applyFill="1" applyBorder="1" applyAlignment="1" applyProtection="1">
      <alignment horizontal="center" vertical="center"/>
      <protection locked="0"/>
    </xf>
    <xf numFmtId="1" fontId="2" fillId="4" borderId="22" xfId="1" applyNumberFormat="1" applyFont="1" applyFill="1" applyBorder="1" applyAlignment="1">
      <alignment horizontal="center" vertical="center"/>
    </xf>
    <xf numFmtId="2" fontId="18" fillId="8" borderId="22" xfId="0" applyNumberFormat="1" applyFont="1" applyFill="1" applyBorder="1" applyAlignment="1" applyProtection="1">
      <alignment horizontal="center" vertical="center"/>
      <protection locked="0"/>
    </xf>
    <xf numFmtId="0" fontId="0" fillId="0" borderId="24" xfId="0" applyBorder="1" applyAlignment="1">
      <alignment horizontal="center"/>
    </xf>
    <xf numFmtId="2" fontId="2" fillId="2" borderId="33" xfId="1" applyNumberFormat="1" applyFont="1" applyFill="1" applyBorder="1" applyAlignment="1" applyProtection="1">
      <alignment horizontal="center" vertical="center"/>
      <protection locked="0"/>
    </xf>
    <xf numFmtId="0" fontId="7" fillId="0" borderId="21" xfId="1" applyFont="1" applyBorder="1" applyAlignment="1">
      <alignment horizontal="center" vertical="center"/>
    </xf>
    <xf numFmtId="0" fontId="12" fillId="0" borderId="21" xfId="1" applyFont="1" applyBorder="1" applyAlignment="1">
      <alignment horizontal="center" vertical="center"/>
    </xf>
    <xf numFmtId="0" fontId="2" fillId="0" borderId="22" xfId="1" applyFont="1" applyBorder="1" applyAlignment="1">
      <alignment horizontal="center" vertical="center" wrapText="1"/>
    </xf>
    <xf numFmtId="0" fontId="2" fillId="0" borderId="23" xfId="1" applyFont="1" applyBorder="1" applyAlignment="1">
      <alignment horizontal="center" vertical="center"/>
    </xf>
    <xf numFmtId="166" fontId="2" fillId="0" borderId="24" xfId="1" applyNumberFormat="1" applyFont="1" applyBorder="1" applyAlignment="1">
      <alignment horizontal="center" vertical="center"/>
    </xf>
    <xf numFmtId="0" fontId="2" fillId="0" borderId="24" xfId="1" applyFont="1" applyBorder="1" applyAlignment="1">
      <alignment vertical="center"/>
    </xf>
    <xf numFmtId="49" fontId="2" fillId="0" borderId="24" xfId="1" applyNumberFormat="1" applyFont="1" applyBorder="1" applyAlignment="1">
      <alignment horizontal="center" vertical="center"/>
    </xf>
    <xf numFmtId="0" fontId="2" fillId="0" borderId="25" xfId="1" applyFont="1" applyBorder="1" applyAlignment="1">
      <alignment horizontal="center" vertical="center" wrapText="1"/>
    </xf>
    <xf numFmtId="0" fontId="2" fillId="0" borderId="22" xfId="1" applyFont="1" applyBorder="1" applyAlignment="1">
      <alignment horizontal="center" vertical="center"/>
    </xf>
    <xf numFmtId="169" fontId="2" fillId="0" borderId="24" xfId="1" applyNumberFormat="1" applyFont="1" applyBorder="1" applyAlignment="1">
      <alignment horizontal="center" vertical="center"/>
    </xf>
    <xf numFmtId="1" fontId="2" fillId="2" borderId="31" xfId="1" applyNumberFormat="1" applyFont="1" applyFill="1" applyBorder="1" applyAlignment="1">
      <alignment horizontal="center" vertical="center"/>
    </xf>
    <xf numFmtId="165" fontId="2" fillId="0" borderId="24" xfId="1" applyNumberFormat="1" applyFont="1" applyBorder="1" applyAlignment="1">
      <alignment horizontal="center" vertical="center"/>
    </xf>
    <xf numFmtId="164" fontId="2" fillId="0" borderId="24" xfId="1" applyNumberFormat="1" applyFont="1" applyBorder="1" applyAlignment="1">
      <alignment horizontal="center" vertical="center"/>
    </xf>
    <xf numFmtId="0" fontId="2" fillId="2" borderId="15" xfId="1" applyFont="1" applyFill="1" applyBorder="1" applyAlignment="1">
      <alignment horizontal="center" vertical="center" wrapText="1"/>
    </xf>
    <xf numFmtId="0" fontId="2" fillId="2" borderId="18" xfId="1" applyFont="1" applyFill="1" applyBorder="1" applyAlignment="1">
      <alignment horizontal="center" vertical="center"/>
    </xf>
    <xf numFmtId="166" fontId="2" fillId="2" borderId="16" xfId="1" applyNumberFormat="1" applyFont="1" applyFill="1" applyBorder="1" applyAlignment="1">
      <alignment horizontal="center" vertical="center"/>
    </xf>
    <xf numFmtId="0" fontId="2" fillId="2" borderId="16" xfId="1" applyFont="1" applyFill="1" applyBorder="1" applyAlignment="1">
      <alignment vertical="center"/>
    </xf>
    <xf numFmtId="49" fontId="2" fillId="2" borderId="16" xfId="1" applyNumberFormat="1" applyFont="1" applyFill="1" applyBorder="1" applyAlignment="1">
      <alignment horizontal="center" vertical="center" wrapText="1"/>
    </xf>
    <xf numFmtId="0" fontId="2" fillId="2" borderId="15" xfId="1" applyFont="1" applyFill="1" applyBorder="1" applyAlignment="1">
      <alignment horizontal="center" vertical="center"/>
    </xf>
    <xf numFmtId="169" fontId="2" fillId="2" borderId="16" xfId="1" applyNumberFormat="1" applyFont="1" applyFill="1" applyBorder="1" applyAlignment="1">
      <alignment horizontal="center" vertical="center"/>
    </xf>
    <xf numFmtId="1" fontId="2" fillId="2" borderId="19" xfId="1" applyNumberFormat="1" applyFont="1" applyFill="1" applyBorder="1" applyAlignment="1">
      <alignment horizontal="center" vertical="center"/>
    </xf>
    <xf numFmtId="1" fontId="2" fillId="2" borderId="23" xfId="1" applyNumberFormat="1" applyFont="1" applyFill="1" applyBorder="1" applyAlignment="1">
      <alignment horizontal="center" vertical="center"/>
    </xf>
    <xf numFmtId="1" fontId="3" fillId="2" borderId="24" xfId="1" applyNumberFormat="1" applyFont="1" applyFill="1" applyBorder="1" applyAlignment="1">
      <alignment horizontal="center" vertical="center"/>
    </xf>
    <xf numFmtId="2" fontId="2" fillId="2" borderId="15" xfId="1" applyNumberFormat="1" applyFont="1" applyFill="1" applyBorder="1" applyAlignment="1">
      <alignment horizontal="center" vertical="center"/>
    </xf>
    <xf numFmtId="2" fontId="2" fillId="2" borderId="18" xfId="1" applyNumberFormat="1" applyFont="1" applyFill="1" applyBorder="1" applyAlignment="1">
      <alignment horizontal="center" vertical="center"/>
    </xf>
    <xf numFmtId="49" fontId="2" fillId="2" borderId="16" xfId="1" applyNumberFormat="1" applyFont="1" applyFill="1" applyBorder="1" applyAlignment="1">
      <alignment horizontal="center" vertical="center"/>
    </xf>
    <xf numFmtId="1" fontId="2" fillId="2" borderId="0" xfId="1" applyNumberFormat="1" applyFont="1" applyFill="1" applyAlignment="1" applyProtection="1">
      <alignment horizontal="center" vertical="center"/>
      <protection locked="0"/>
    </xf>
    <xf numFmtId="0" fontId="2" fillId="2" borderId="23" xfId="1" applyFont="1" applyFill="1" applyBorder="1" applyAlignment="1" applyProtection="1">
      <alignment horizontal="center" vertical="center" wrapText="1"/>
      <protection locked="0"/>
    </xf>
    <xf numFmtId="2" fontId="15" fillId="0" borderId="26" xfId="0" applyNumberFormat="1" applyFont="1" applyBorder="1" applyAlignment="1">
      <alignment horizontal="center" vertical="center"/>
    </xf>
    <xf numFmtId="2" fontId="15" fillId="0" borderId="24" xfId="0" applyNumberFormat="1" applyFont="1" applyBorder="1" applyAlignment="1">
      <alignment horizontal="center" vertical="center"/>
    </xf>
    <xf numFmtId="16" fontId="2" fillId="2" borderId="24" xfId="1" applyNumberFormat="1" applyFont="1" applyFill="1" applyBorder="1" applyAlignment="1" applyProtection="1">
      <alignment vertical="center"/>
      <protection locked="0"/>
    </xf>
    <xf numFmtId="170" fontId="2" fillId="9" borderId="22" xfId="1" applyNumberFormat="1" applyFont="1" applyFill="1" applyBorder="1" applyAlignment="1" applyProtection="1">
      <alignment horizontal="center" vertical="center"/>
      <protection locked="0"/>
    </xf>
    <xf numFmtId="1" fontId="15" fillId="0" borderId="31" xfId="0" applyNumberFormat="1" applyFont="1" applyBorder="1" applyAlignment="1">
      <alignment horizontal="center" vertical="center"/>
    </xf>
    <xf numFmtId="2" fontId="2" fillId="2" borderId="35" xfId="1" applyNumberFormat="1" applyFont="1" applyFill="1" applyBorder="1" applyAlignment="1" applyProtection="1">
      <alignment horizontal="center" vertical="center"/>
      <protection locked="0"/>
    </xf>
    <xf numFmtId="2" fontId="3" fillId="2" borderId="22" xfId="1" applyNumberFormat="1" applyFont="1" applyFill="1" applyBorder="1" applyAlignment="1">
      <alignment horizontal="center" vertical="center"/>
    </xf>
    <xf numFmtId="2" fontId="3" fillId="2" borderId="24" xfId="1" applyNumberFormat="1" applyFont="1" applyFill="1" applyBorder="1" applyAlignment="1">
      <alignment horizontal="center" vertical="center"/>
    </xf>
    <xf numFmtId="0" fontId="2" fillId="2" borderId="20" xfId="1" applyFont="1" applyFill="1" applyBorder="1" applyAlignment="1">
      <alignment horizontal="center" vertical="center"/>
    </xf>
    <xf numFmtId="0" fontId="2" fillId="2" borderId="17" xfId="1" applyFont="1" applyFill="1" applyBorder="1" applyAlignment="1">
      <alignment horizontal="center" vertical="center"/>
    </xf>
    <xf numFmtId="1" fontId="2" fillId="2" borderId="16" xfId="1" applyNumberFormat="1" applyFont="1" applyFill="1" applyBorder="1" applyAlignment="1">
      <alignment horizontal="center" vertical="center"/>
    </xf>
    <xf numFmtId="165" fontId="2" fillId="2" borderId="15" xfId="1" applyNumberFormat="1" applyFont="1" applyFill="1" applyBorder="1" applyAlignment="1">
      <alignment horizontal="center" vertical="center"/>
    </xf>
    <xf numFmtId="165" fontId="2" fillId="2" borderId="16" xfId="1" applyNumberFormat="1" applyFont="1" applyFill="1" applyBorder="1" applyAlignment="1">
      <alignment horizontal="center" vertical="center"/>
    </xf>
    <xf numFmtId="164" fontId="2" fillId="2" borderId="16" xfId="1" applyNumberFormat="1" applyFont="1" applyFill="1" applyBorder="1" applyAlignment="1">
      <alignment horizontal="center" vertical="center"/>
    </xf>
    <xf numFmtId="164" fontId="2" fillId="4" borderId="18" xfId="1" applyNumberFormat="1" applyFont="1" applyFill="1" applyBorder="1" applyAlignment="1">
      <alignment horizontal="center" vertical="center"/>
    </xf>
    <xf numFmtId="1" fontId="2" fillId="2" borderId="36" xfId="1" applyNumberFormat="1" applyFont="1" applyFill="1" applyBorder="1" applyAlignment="1">
      <alignment horizontal="center" vertical="center"/>
    </xf>
    <xf numFmtId="1" fontId="2" fillId="2" borderId="36" xfId="1" applyNumberFormat="1" applyFont="1" applyFill="1" applyBorder="1" applyAlignment="1" applyProtection="1">
      <alignment horizontal="center" vertical="center"/>
      <protection locked="0"/>
    </xf>
    <xf numFmtId="165" fontId="2" fillId="2" borderId="37" xfId="1" applyNumberFormat="1" applyFont="1" applyFill="1" applyBorder="1" applyAlignment="1">
      <alignment horizontal="center" vertical="center"/>
    </xf>
    <xf numFmtId="164" fontId="2" fillId="2" borderId="37" xfId="1" applyNumberFormat="1" applyFont="1" applyFill="1" applyBorder="1" applyAlignment="1">
      <alignment horizontal="center" vertical="center"/>
    </xf>
    <xf numFmtId="164" fontId="2" fillId="4" borderId="37" xfId="1" applyNumberFormat="1" applyFont="1" applyFill="1" applyBorder="1" applyAlignment="1">
      <alignment horizontal="center" vertical="center"/>
    </xf>
    <xf numFmtId="2" fontId="2" fillId="2" borderId="37" xfId="1" applyNumberFormat="1" applyFont="1" applyFill="1" applyBorder="1" applyAlignment="1">
      <alignment horizontal="center" vertical="center"/>
    </xf>
    <xf numFmtId="49" fontId="2" fillId="2" borderId="37" xfId="1" applyNumberFormat="1" applyFont="1" applyFill="1" applyBorder="1" applyAlignment="1">
      <alignment horizontal="center" vertical="center"/>
    </xf>
    <xf numFmtId="2" fontId="2" fillId="4" borderId="37" xfId="1" applyNumberFormat="1" applyFont="1" applyFill="1" applyBorder="1" applyAlignment="1">
      <alignment horizontal="center" vertical="center"/>
    </xf>
    <xf numFmtId="165" fontId="2" fillId="2" borderId="36" xfId="1" applyNumberFormat="1" applyFont="1" applyFill="1" applyBorder="1" applyAlignment="1">
      <alignment horizontal="center" vertical="center"/>
    </xf>
    <xf numFmtId="164" fontId="2" fillId="2" borderId="36" xfId="1" applyNumberFormat="1" applyFont="1" applyFill="1" applyBorder="1" applyAlignment="1">
      <alignment horizontal="center" vertical="center"/>
    </xf>
    <xf numFmtId="164" fontId="2" fillId="4" borderId="36" xfId="1" applyNumberFormat="1" applyFont="1" applyFill="1" applyBorder="1" applyAlignment="1">
      <alignment horizontal="center" vertical="center"/>
    </xf>
    <xf numFmtId="2" fontId="2" fillId="2" borderId="36" xfId="1" applyNumberFormat="1" applyFont="1" applyFill="1" applyBorder="1" applyAlignment="1">
      <alignment horizontal="center" vertical="center"/>
    </xf>
    <xf numFmtId="49" fontId="2" fillId="2" borderId="36" xfId="1" applyNumberFormat="1" applyFont="1" applyFill="1" applyBorder="1" applyAlignment="1">
      <alignment horizontal="center" vertical="center"/>
    </xf>
    <xf numFmtId="2" fontId="2" fillId="4" borderId="36" xfId="1" applyNumberFormat="1" applyFont="1" applyFill="1" applyBorder="1" applyAlignment="1">
      <alignment horizontal="center" vertical="center"/>
    </xf>
    <xf numFmtId="2" fontId="2" fillId="2" borderId="38" xfId="1" applyNumberFormat="1" applyFont="1" applyFill="1" applyBorder="1" applyAlignment="1" applyProtection="1">
      <alignment horizontal="center" vertical="center"/>
      <protection locked="0"/>
    </xf>
    <xf numFmtId="2" fontId="2" fillId="2" borderId="36" xfId="1" applyNumberFormat="1" applyFont="1" applyFill="1" applyBorder="1" applyAlignment="1" applyProtection="1">
      <alignment horizontal="center" vertical="center"/>
      <protection locked="0"/>
    </xf>
    <xf numFmtId="0" fontId="2" fillId="2" borderId="37" xfId="1" applyFont="1" applyFill="1" applyBorder="1" applyAlignment="1">
      <alignment horizontal="center" vertical="center"/>
    </xf>
    <xf numFmtId="0" fontId="2" fillId="2" borderId="37" xfId="1" applyFont="1" applyFill="1" applyBorder="1" applyAlignment="1">
      <alignment horizontal="center" vertical="center" wrapText="1"/>
    </xf>
    <xf numFmtId="1" fontId="2" fillId="2" borderId="37" xfId="1" applyNumberFormat="1" applyFont="1" applyFill="1" applyBorder="1" applyAlignment="1" applyProtection="1">
      <alignment horizontal="center" vertical="center"/>
      <protection locked="0"/>
    </xf>
    <xf numFmtId="165" fontId="6" fillId="3" borderId="1" xfId="1" applyNumberFormat="1" applyFont="1" applyFill="1" applyBorder="1" applyAlignment="1">
      <alignment horizontal="center" vertical="center"/>
    </xf>
    <xf numFmtId="166" fontId="19" fillId="2" borderId="24" xfId="1" applyNumberFormat="1" applyFont="1" applyFill="1" applyBorder="1" applyAlignment="1" applyProtection="1">
      <alignment horizontal="center" vertical="center"/>
      <protection locked="0"/>
    </xf>
    <xf numFmtId="166" fontId="2" fillId="2" borderId="24" xfId="1" quotePrefix="1" applyNumberFormat="1" applyFont="1" applyFill="1" applyBorder="1" applyAlignment="1" applyProtection="1">
      <alignment horizontal="center" vertical="center"/>
      <protection locked="0"/>
    </xf>
    <xf numFmtId="0" fontId="7" fillId="5" borderId="9" xfId="1" applyFont="1" applyFill="1" applyBorder="1" applyAlignment="1">
      <alignment horizontal="center" vertical="center" wrapText="1"/>
    </xf>
    <xf numFmtId="0" fontId="7" fillId="5" borderId="10" xfId="1" applyFont="1" applyFill="1" applyBorder="1" applyAlignment="1">
      <alignment horizontal="center" vertical="center" wrapText="1"/>
    </xf>
    <xf numFmtId="0" fontId="7" fillId="5" borderId="11" xfId="1" applyFont="1" applyFill="1" applyBorder="1" applyAlignment="1">
      <alignment horizontal="center" vertical="center" wrapText="1"/>
    </xf>
    <xf numFmtId="165" fontId="7" fillId="5" borderId="9" xfId="1" applyNumberFormat="1" applyFont="1" applyFill="1" applyBorder="1" applyAlignment="1">
      <alignment horizontal="center" vertical="center" wrapText="1"/>
    </xf>
    <xf numFmtId="165" fontId="7" fillId="5" borderId="10" xfId="1" applyNumberFormat="1" applyFont="1" applyFill="1" applyBorder="1" applyAlignment="1">
      <alignment horizontal="center" vertical="center" wrapText="1"/>
    </xf>
    <xf numFmtId="0" fontId="3" fillId="9" borderId="0" xfId="1" applyFont="1" applyFill="1" applyAlignment="1">
      <alignment vertical="center"/>
    </xf>
    <xf numFmtId="0" fontId="2" fillId="8" borderId="0" xfId="1" applyFont="1" applyFill="1" applyAlignment="1">
      <alignment vertical="center"/>
    </xf>
    <xf numFmtId="0" fontId="2" fillId="10" borderId="0" xfId="1" applyFont="1" applyFill="1" applyAlignment="1">
      <alignment vertical="center"/>
    </xf>
    <xf numFmtId="0" fontId="18" fillId="0" borderId="24" xfId="0" applyFont="1" applyBorder="1" applyAlignment="1">
      <alignment horizontal="center"/>
    </xf>
    <xf numFmtId="166" fontId="21" fillId="2" borderId="24" xfId="1" applyNumberFormat="1" applyFont="1" applyFill="1" applyBorder="1" applyAlignment="1" applyProtection="1">
      <alignment horizontal="center" vertical="center"/>
      <protection locked="0"/>
    </xf>
    <xf numFmtId="0" fontId="18" fillId="8" borderId="24" xfId="0" applyFont="1" applyFill="1" applyBorder="1" applyAlignment="1">
      <alignment horizontal="center"/>
    </xf>
    <xf numFmtId="166" fontId="2" fillId="2" borderId="24" xfId="1" quotePrefix="1" applyNumberFormat="1" applyFont="1" applyFill="1" applyBorder="1" applyAlignment="1">
      <alignment horizontal="center" vertical="center"/>
    </xf>
    <xf numFmtId="166" fontId="22" fillId="2" borderId="24" xfId="1" applyNumberFormat="1" applyFont="1" applyFill="1" applyBorder="1" applyAlignment="1">
      <alignment horizontal="center" vertical="center"/>
    </xf>
    <xf numFmtId="0" fontId="24" fillId="3" borderId="3" xfId="1" applyFont="1" applyFill="1" applyBorder="1" applyAlignment="1">
      <alignment horizontal="left" vertical="center"/>
    </xf>
    <xf numFmtId="0" fontId="1" fillId="3" borderId="4" xfId="1" applyFill="1" applyBorder="1" applyAlignment="1">
      <alignment horizontal="center" vertical="center" wrapText="1" readingOrder="1"/>
    </xf>
    <xf numFmtId="0" fontId="1" fillId="3" borderId="4" xfId="1" applyFill="1" applyBorder="1" applyAlignment="1">
      <alignment horizontal="center" vertical="center"/>
    </xf>
    <xf numFmtId="49" fontId="1" fillId="3" borderId="4" xfId="1" applyNumberFormat="1" applyFill="1" applyBorder="1" applyAlignment="1">
      <alignment horizontal="center" vertical="center"/>
    </xf>
    <xf numFmtId="0" fontId="25" fillId="3" borderId="7" xfId="1" applyFont="1" applyFill="1" applyBorder="1" applyAlignment="1">
      <alignment horizontal="center" vertical="center"/>
    </xf>
    <xf numFmtId="0" fontId="25" fillId="3" borderId="6" xfId="1" applyFont="1" applyFill="1" applyBorder="1" applyAlignment="1">
      <alignment horizontal="center" vertical="center"/>
    </xf>
    <xf numFmtId="0" fontId="26" fillId="3" borderId="3" xfId="1" applyFont="1" applyFill="1" applyBorder="1" applyAlignment="1">
      <alignment horizontal="center" vertical="center"/>
    </xf>
    <xf numFmtId="0" fontId="1" fillId="3" borderId="5" xfId="1" applyFill="1" applyBorder="1" applyAlignment="1">
      <alignment horizontal="center" vertical="center"/>
    </xf>
    <xf numFmtId="0" fontId="26" fillId="3" borderId="0" xfId="1" applyFont="1" applyFill="1" applyAlignment="1">
      <alignment horizontal="center" vertical="center" wrapText="1" readingOrder="1"/>
    </xf>
    <xf numFmtId="0" fontId="26" fillId="3" borderId="8"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9" fillId="3" borderId="11" xfId="1" applyFont="1" applyFill="1" applyBorder="1" applyAlignment="1">
      <alignment horizontal="center" vertical="center" wrapText="1"/>
    </xf>
    <xf numFmtId="165" fontId="9" fillId="3" borderId="9" xfId="1" applyNumberFormat="1" applyFont="1" applyFill="1" applyBorder="1" applyAlignment="1">
      <alignment horizontal="center" vertical="center" wrapText="1"/>
    </xf>
    <xf numFmtId="165" fontId="9" fillId="3" borderId="10" xfId="1" applyNumberFormat="1" applyFont="1" applyFill="1" applyBorder="1" applyAlignment="1">
      <alignment horizontal="center" vertical="center" wrapText="1"/>
    </xf>
    <xf numFmtId="166" fontId="2" fillId="3" borderId="12" xfId="1" applyNumberFormat="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3" borderId="12" xfId="1" applyFont="1" applyFill="1" applyBorder="1" applyAlignment="1">
      <alignment horizontal="center" vertical="center"/>
    </xf>
    <xf numFmtId="49" fontId="2" fillId="3" borderId="12" xfId="1" applyNumberFormat="1" applyFont="1" applyFill="1" applyBorder="1" applyAlignment="1">
      <alignment horizontal="center" vertical="center" wrapText="1"/>
    </xf>
    <xf numFmtId="2" fontId="2" fillId="3" borderId="13" xfId="1" applyNumberFormat="1" applyFont="1" applyFill="1" applyBorder="1" applyAlignment="1">
      <alignment horizontal="center" vertical="center" wrapText="1"/>
    </xf>
    <xf numFmtId="2" fontId="2" fillId="3" borderId="10" xfId="1" applyNumberFormat="1" applyFont="1" applyFill="1" applyBorder="1" applyAlignment="1">
      <alignment horizontal="center" vertical="center" wrapText="1"/>
    </xf>
    <xf numFmtId="2" fontId="2" fillId="3" borderId="12" xfId="1" applyNumberFormat="1" applyFont="1" applyFill="1" applyBorder="1" applyAlignment="1">
      <alignment horizontal="center" vertical="center" wrapText="1"/>
    </xf>
    <xf numFmtId="0" fontId="2" fillId="3" borderId="13" xfId="1" applyFont="1" applyFill="1" applyBorder="1" applyAlignment="1">
      <alignment horizontal="center" vertical="center" wrapText="1"/>
    </xf>
    <xf numFmtId="1" fontId="2" fillId="3" borderId="14" xfId="1" applyNumberFormat="1" applyFont="1" applyFill="1" applyBorder="1" applyAlignment="1">
      <alignment horizontal="center" vertical="center"/>
    </xf>
    <xf numFmtId="1" fontId="2" fillId="3" borderId="12" xfId="1" applyNumberFormat="1" applyFont="1" applyFill="1" applyBorder="1" applyAlignment="1">
      <alignment horizontal="center" vertical="center"/>
    </xf>
    <xf numFmtId="1" fontId="2" fillId="3" borderId="12" xfId="1" applyNumberFormat="1" applyFont="1" applyFill="1" applyBorder="1" applyAlignment="1">
      <alignment horizontal="center" vertical="center" wrapText="1"/>
    </xf>
    <xf numFmtId="1" fontId="2" fillId="3" borderId="13" xfId="1" applyNumberFormat="1" applyFont="1" applyFill="1" applyBorder="1" applyAlignment="1">
      <alignment horizontal="center" vertical="center"/>
    </xf>
    <xf numFmtId="165" fontId="2" fillId="3" borderId="10" xfId="1" applyNumberFormat="1" applyFont="1" applyFill="1" applyBorder="1" applyAlignment="1">
      <alignment horizontal="center" vertical="center" wrapText="1"/>
    </xf>
    <xf numFmtId="164" fontId="2" fillId="3" borderId="12" xfId="1" applyNumberFormat="1" applyFont="1" applyFill="1" applyBorder="1" applyAlignment="1">
      <alignment horizontal="center" vertical="center" wrapText="1"/>
    </xf>
    <xf numFmtId="164" fontId="2" fillId="3" borderId="11" xfId="1" applyNumberFormat="1" applyFont="1" applyFill="1" applyBorder="1" applyAlignment="1">
      <alignment horizontal="center" vertical="center" wrapText="1"/>
    </xf>
    <xf numFmtId="2" fontId="2" fillId="3" borderId="14"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11" xfId="1" applyNumberFormat="1" applyFont="1" applyFill="1" applyBorder="1" applyAlignment="1">
      <alignment horizontal="center" vertical="center" wrapText="1"/>
    </xf>
    <xf numFmtId="0" fontId="2" fillId="3" borderId="10" xfId="1" applyFont="1" applyFill="1" applyBorder="1" applyAlignment="1">
      <alignment horizontal="center" vertical="center"/>
    </xf>
    <xf numFmtId="2" fontId="2" fillId="3" borderId="10" xfId="1" applyNumberFormat="1" applyFont="1" applyFill="1" applyBorder="1" applyAlignment="1">
      <alignment horizontal="center" vertical="center"/>
    </xf>
    <xf numFmtId="0" fontId="2" fillId="3" borderId="10" xfId="1" applyFont="1" applyFill="1" applyBorder="1" applyAlignment="1">
      <alignment horizontal="center" vertical="center" wrapText="1"/>
    </xf>
    <xf numFmtId="2" fontId="15" fillId="3" borderId="12" xfId="1" applyNumberFormat="1" applyFont="1" applyFill="1" applyBorder="1" applyAlignment="1">
      <alignment horizontal="center" vertical="center" wrapText="1"/>
    </xf>
    <xf numFmtId="0" fontId="2" fillId="3" borderId="11" xfId="1" applyFont="1" applyFill="1" applyBorder="1" applyAlignment="1">
      <alignment horizontal="center" vertical="center" wrapText="1"/>
    </xf>
    <xf numFmtId="2" fontId="2" fillId="3" borderId="14" xfId="1" applyNumberFormat="1" applyFont="1" applyFill="1" applyBorder="1" applyAlignment="1">
      <alignment horizontal="center" vertical="center" wrapText="1"/>
    </xf>
    <xf numFmtId="0" fontId="2" fillId="3" borderId="9" xfId="1" applyFont="1" applyFill="1" applyBorder="1" applyAlignment="1">
      <alignment horizontal="center" vertical="center" wrapText="1"/>
    </xf>
    <xf numFmtId="0" fontId="20" fillId="8" borderId="0" xfId="0" applyFont="1" applyFill="1"/>
    <xf numFmtId="0" fontId="9" fillId="0" borderId="21" xfId="1" applyFont="1" applyBorder="1" applyAlignment="1">
      <alignment horizontal="center" vertical="center"/>
    </xf>
    <xf numFmtId="0" fontId="9" fillId="2" borderId="21" xfId="1" applyFont="1" applyFill="1" applyBorder="1" applyAlignment="1" applyProtection="1">
      <alignment horizontal="center" vertical="center"/>
      <protection locked="0"/>
    </xf>
    <xf numFmtId="165" fontId="9" fillId="4" borderId="21" xfId="1" applyNumberFormat="1" applyFont="1" applyFill="1" applyBorder="1" applyAlignment="1">
      <alignment horizontal="center" vertical="center"/>
    </xf>
    <xf numFmtId="0" fontId="9" fillId="0" borderId="21" xfId="1" applyFont="1" applyBorder="1" applyAlignment="1" applyProtection="1">
      <alignment horizontal="center" vertical="center"/>
      <protection locked="0"/>
    </xf>
    <xf numFmtId="0" fontId="20" fillId="0" borderId="24" xfId="0" applyFont="1" applyBorder="1" applyAlignment="1">
      <alignment horizontal="center"/>
    </xf>
    <xf numFmtId="0" fontId="9" fillId="2" borderId="21" xfId="1" applyFont="1" applyFill="1" applyBorder="1" applyAlignment="1">
      <alignment horizontal="center" vertical="center"/>
    </xf>
    <xf numFmtId="0" fontId="9" fillId="9" borderId="21" xfId="1" applyFont="1" applyFill="1" applyBorder="1" applyAlignment="1" applyProtection="1">
      <alignment horizontal="center" vertical="center"/>
      <protection locked="0"/>
    </xf>
    <xf numFmtId="0" fontId="28" fillId="0" borderId="21" xfId="0" applyFont="1" applyBorder="1" applyAlignment="1">
      <alignment horizontal="center"/>
    </xf>
    <xf numFmtId="0" fontId="20" fillId="0" borderId="32" xfId="0" applyFont="1" applyBorder="1" applyAlignment="1">
      <alignment horizontal="center"/>
    </xf>
    <xf numFmtId="0" fontId="2" fillId="0" borderId="24" xfId="0" applyFont="1" applyBorder="1" applyAlignment="1">
      <alignment horizontal="center"/>
    </xf>
    <xf numFmtId="0" fontId="2" fillId="2" borderId="32" xfId="1" applyFont="1" applyFill="1" applyBorder="1" applyAlignment="1">
      <alignment vertical="center"/>
    </xf>
    <xf numFmtId="2" fontId="2" fillId="2" borderId="34" xfId="1" applyNumberFormat="1" applyFont="1" applyFill="1" applyBorder="1" applyAlignment="1" applyProtection="1">
      <alignment horizontal="center" vertical="center"/>
      <protection locked="0"/>
    </xf>
    <xf numFmtId="0" fontId="18" fillId="0" borderId="32" xfId="0" applyFont="1" applyBorder="1" applyAlignment="1">
      <alignment horizontal="center"/>
    </xf>
    <xf numFmtId="2" fontId="2" fillId="4" borderId="0" xfId="1" applyNumberFormat="1" applyFont="1" applyFill="1" applyAlignment="1">
      <alignment horizontal="center" vertical="center"/>
    </xf>
    <xf numFmtId="0" fontId="20" fillId="8" borderId="21" xfId="0" applyFont="1" applyFill="1" applyBorder="1"/>
    <xf numFmtId="0" fontId="30" fillId="0" borderId="21" xfId="2" applyFont="1" applyBorder="1" applyAlignment="1" applyProtection="1">
      <alignment horizontal="center" vertical="center"/>
      <protection locked="0"/>
    </xf>
    <xf numFmtId="0" fontId="2" fillId="2" borderId="37" xfId="1" applyFont="1" applyFill="1" applyBorder="1" applyAlignment="1" applyProtection="1">
      <alignment horizontal="center" vertical="center" wrapText="1"/>
      <protection locked="0"/>
    </xf>
    <xf numFmtId="0" fontId="2" fillId="2" borderId="0" xfId="1" applyFont="1" applyFill="1" applyAlignment="1" applyProtection="1">
      <alignment horizontal="center" vertical="center"/>
      <protection locked="0"/>
    </xf>
    <xf numFmtId="1" fontId="18" fillId="2" borderId="24" xfId="1" applyNumberFormat="1" applyFont="1" applyFill="1" applyBorder="1" applyAlignment="1" applyProtection="1">
      <alignment horizontal="center" vertical="center"/>
      <protection locked="0"/>
    </xf>
    <xf numFmtId="0" fontId="20" fillId="8" borderId="32" xfId="0" applyFont="1" applyFill="1" applyBorder="1" applyAlignment="1">
      <alignment horizontal="center"/>
    </xf>
    <xf numFmtId="166" fontId="2" fillId="2" borderId="24" xfId="1" applyNumberFormat="1" applyFont="1" applyFill="1" applyBorder="1" applyAlignment="1" applyProtection="1">
      <alignment horizontal="left" vertical="center"/>
      <protection locked="0"/>
    </xf>
    <xf numFmtId="0" fontId="2" fillId="2" borderId="0" xfId="1" applyFont="1" applyFill="1" applyAlignment="1" applyProtection="1">
      <alignment vertical="center"/>
      <protection locked="0"/>
    </xf>
    <xf numFmtId="0" fontId="2" fillId="2" borderId="39" xfId="1" applyFont="1" applyFill="1" applyBorder="1" applyAlignment="1" applyProtection="1">
      <alignment horizontal="center" vertical="center"/>
      <protection locked="0"/>
    </xf>
    <xf numFmtId="1" fontId="2" fillId="2" borderId="35" xfId="1" applyNumberFormat="1" applyFont="1" applyFill="1" applyBorder="1" applyAlignment="1" applyProtection="1">
      <alignment horizontal="center" vertical="center"/>
      <protection locked="0"/>
    </xf>
    <xf numFmtId="1" fontId="18" fillId="2" borderId="32" xfId="1" applyNumberFormat="1" applyFont="1" applyFill="1" applyBorder="1" applyAlignment="1" applyProtection="1">
      <alignment horizontal="center" vertical="center"/>
      <protection locked="0"/>
    </xf>
    <xf numFmtId="1" fontId="2" fillId="9" borderId="32" xfId="1" applyNumberFormat="1" applyFont="1" applyFill="1" applyBorder="1" applyAlignment="1" applyProtection="1">
      <alignment horizontal="center" vertical="center"/>
      <protection locked="0"/>
    </xf>
    <xf numFmtId="2" fontId="15" fillId="0" borderId="22" xfId="0" applyNumberFormat="1" applyFont="1" applyBorder="1" applyAlignment="1">
      <alignment horizontal="center" vertical="center"/>
    </xf>
    <xf numFmtId="0" fontId="26" fillId="3" borderId="8" xfId="1" applyFont="1" applyFill="1" applyBorder="1" applyAlignment="1">
      <alignment horizontal="center" vertical="center" wrapText="1"/>
    </xf>
    <xf numFmtId="0" fontId="26" fillId="3" borderId="0" xfId="1" applyFont="1" applyFill="1" applyAlignment="1">
      <alignment horizontal="center" vertical="center" wrapText="1"/>
    </xf>
    <xf numFmtId="2" fontId="26" fillId="3" borderId="0" xfId="1" applyNumberFormat="1" applyFont="1" applyFill="1" applyAlignment="1">
      <alignment horizontal="center" vertical="center"/>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2" fontId="26" fillId="3" borderId="8" xfId="1" applyNumberFormat="1" applyFont="1" applyFill="1" applyBorder="1" applyAlignment="1">
      <alignment horizontal="center" vertical="center"/>
    </xf>
    <xf numFmtId="0" fontId="23" fillId="3" borderId="40" xfId="1" applyFont="1" applyFill="1" applyBorder="1" applyAlignment="1">
      <alignment horizontal="center" vertical="center" wrapText="1"/>
    </xf>
    <xf numFmtId="0" fontId="23" fillId="3" borderId="1" xfId="1" applyFont="1" applyFill="1" applyBorder="1" applyAlignment="1">
      <alignment horizontal="center" vertical="center" wrapText="1"/>
    </xf>
    <xf numFmtId="0" fontId="23" fillId="3" borderId="41"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6" fillId="3" borderId="0" xfId="1" applyFont="1" applyFill="1" applyAlignment="1">
      <alignment horizontal="center" vertical="center" wrapText="1" readingOrder="1"/>
    </xf>
    <xf numFmtId="0" fontId="26" fillId="3" borderId="8" xfId="1" applyFont="1" applyFill="1" applyBorder="1" applyAlignment="1">
      <alignment horizontal="center" vertical="center"/>
    </xf>
    <xf numFmtId="165" fontId="26" fillId="3" borderId="0" xfId="1" applyNumberFormat="1" applyFont="1" applyFill="1" applyAlignment="1">
      <alignment horizontal="center" vertical="center" wrapText="1"/>
    </xf>
    <xf numFmtId="2" fontId="27" fillId="3" borderId="0" xfId="1" applyNumberFormat="1" applyFont="1" applyFill="1" applyAlignment="1">
      <alignment horizontal="center" vertical="center" wrapText="1"/>
    </xf>
    <xf numFmtId="0" fontId="11" fillId="6" borderId="9" xfId="1" applyFont="1" applyFill="1" applyBorder="1" applyAlignment="1">
      <alignment horizontal="center"/>
    </xf>
  </cellXfs>
  <cellStyles count="3">
    <cellStyle name="Excel Built-in Normal" xfId="1" xr:uid="{00000000-0005-0000-0000-000000000000}"/>
    <cellStyle name="Hyperlink" xfId="2" builtinId="8"/>
    <cellStyle name="Normal" xfId="0" builtinId="0"/>
  </cellStyles>
  <dxfs count="80">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A5A5"/>
        </patternFill>
      </fill>
    </dxf>
    <dxf>
      <fill>
        <patternFill>
          <bgColor rgb="FFFFA5A5"/>
        </patternFill>
      </fill>
    </dxf>
    <dxf>
      <fill>
        <patternFill>
          <bgColor rgb="FFFF8989"/>
        </patternFill>
      </fill>
    </dxf>
    <dxf>
      <fill>
        <patternFill>
          <bgColor rgb="FFFF8585"/>
        </patternFill>
      </fill>
    </dxf>
    <dxf>
      <fill>
        <patternFill>
          <bgColor rgb="FFFF8989"/>
        </patternFill>
      </fill>
    </dxf>
    <dxf>
      <fill>
        <patternFill>
          <bgColor rgb="FFFF8585"/>
        </patternFill>
      </fill>
    </dxf>
    <dxf>
      <fill>
        <patternFill>
          <bgColor rgb="FFFFA5A5"/>
        </patternFill>
      </fill>
    </dxf>
    <dxf>
      <fill>
        <patternFill>
          <bgColor rgb="FFFFA5A5"/>
        </patternFill>
      </fill>
    </dxf>
    <dxf>
      <fill>
        <patternFill>
          <bgColor rgb="FFFF8989"/>
        </patternFill>
      </fill>
    </dxf>
    <dxf>
      <fill>
        <patternFill>
          <bgColor rgb="FFFF8585"/>
        </patternFill>
      </fill>
    </dxf>
    <dxf>
      <font>
        <color theme="1"/>
      </font>
      <fill>
        <patternFill>
          <bgColor theme="7" tint="0.79998168889431442"/>
        </patternFill>
      </fill>
    </dxf>
    <dxf>
      <font>
        <color theme="1"/>
      </font>
      <fill>
        <patternFill>
          <bgColor rgb="FFFFC7CE"/>
        </patternFill>
      </fill>
    </dxf>
    <dxf>
      <font>
        <color theme="1"/>
      </font>
      <fill>
        <patternFill>
          <bgColor theme="0"/>
        </patternFill>
      </fill>
    </dxf>
    <dxf>
      <font>
        <color theme="1"/>
      </font>
      <fill>
        <patternFill>
          <bgColor theme="7" tint="0.79998168889431442"/>
        </patternFill>
      </fill>
    </dxf>
    <dxf>
      <font>
        <color theme="1"/>
      </font>
      <fill>
        <patternFill>
          <bgColor rgb="FFFFC7CE"/>
        </patternFill>
      </fill>
    </dxf>
    <dxf>
      <font>
        <color theme="1"/>
      </font>
      <fill>
        <patternFill>
          <bgColor theme="0"/>
        </patternFill>
      </fill>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0504D"/>
      <rgbColor rgb="00F2F2F2"/>
      <rgbColor rgb="00DCE6F2"/>
      <rgbColor rgb="00660066"/>
      <rgbColor rgb="00FF8080"/>
      <rgbColor rgb="000066CC"/>
      <rgbColor rgb="00C6D9F1"/>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F99CC"/>
      <rgbColor rgb="00CC99FF"/>
      <rgbColor rgb="00F2DCDB"/>
      <rgbColor rgb="003366FF"/>
      <rgbColor rgb="0033CCCC"/>
      <rgbColor rgb="0099CC00"/>
      <rgbColor rgb="00FFCC00"/>
      <rgbColor rgb="00FF9900"/>
      <rgbColor rgb="00FF6600"/>
      <rgbColor rgb="004F81BD"/>
      <rgbColor rgb="00969696"/>
      <rgbColor rgb="00003366"/>
      <rgbColor rgb="00339966"/>
      <rgbColor rgb="00003300"/>
      <rgbColor rgb="00333300"/>
      <rgbColor rgb="00993300"/>
      <rgbColor rgb="00993366"/>
      <rgbColor rgb="001F497D"/>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7620</xdr:rowOff>
    </xdr:from>
    <xdr:to>
      <xdr:col>5</xdr:col>
      <xdr:colOff>495300</xdr:colOff>
      <xdr:row>2</xdr:row>
      <xdr:rowOff>388620</xdr:rowOff>
    </xdr:to>
    <xdr:pic>
      <xdr:nvPicPr>
        <xdr:cNvPr id="1764" name="Picture 2">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91440"/>
          <a:ext cx="210312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463"/>
  <sheetViews>
    <sheetView showZeros="0" tabSelected="1" zoomScale="90" zoomScaleNormal="90" workbookViewId="0">
      <pane xSplit="6" ySplit="4" topLeftCell="P53" activePane="bottomRight" state="frozen"/>
      <selection pane="topRight" activeCell="G1" sqref="G1"/>
      <selection pane="bottomLeft" activeCell="A5" sqref="A5"/>
      <selection pane="bottomRight" activeCell="X54" sqref="X54"/>
    </sheetView>
  </sheetViews>
  <sheetFormatPr defaultColWidth="2.90625" defaultRowHeight="13" zeroHeight="1" x14ac:dyDescent="0.25"/>
  <cols>
    <col min="1" max="1" width="1.453125" style="1" customWidth="1"/>
    <col min="2" max="2" width="7.1796875" style="2" customWidth="1"/>
    <col min="3" max="3" width="23.90625" style="3" customWidth="1"/>
    <col min="4" max="4" width="26.453125" style="4" customWidth="1"/>
    <col min="5" max="5" width="23.453125" style="5" customWidth="1"/>
    <col min="6" max="6" width="11.54296875" style="6" customWidth="1"/>
    <col min="7" max="7" width="10.453125" style="6" customWidth="1"/>
    <col min="8" max="8" width="44.08984375" style="6" customWidth="1"/>
    <col min="9" max="9" width="12.453125" style="7" customWidth="1"/>
    <col min="10" max="10" width="11.453125" style="2" customWidth="1"/>
    <col min="11" max="11" width="22.81640625" style="8" customWidth="1"/>
    <col min="12" max="12" width="14" style="2" customWidth="1"/>
    <col min="13" max="13" width="33.453125" style="2" customWidth="1"/>
    <col min="14" max="14" width="7.90625" style="9" customWidth="1"/>
    <col min="15" max="15" width="8.453125" style="9" customWidth="1"/>
    <col min="16" max="16" width="8.453125" style="10" customWidth="1"/>
    <col min="17" max="18" width="7" style="11" customWidth="1"/>
    <col min="19" max="19" width="9.08984375" style="11" customWidth="1"/>
    <col min="20" max="21" width="7" style="11" customWidth="1"/>
    <col min="22" max="23" width="9" style="12" customWidth="1"/>
    <col min="24" max="24" width="9.90625" style="12" customWidth="1"/>
    <col min="25" max="25" width="9.90625" style="13" customWidth="1"/>
    <col min="26" max="27" width="11.08984375" style="14" customWidth="1"/>
    <col min="28" max="28" width="7.453125" style="13" customWidth="1"/>
    <col min="29" max="29" width="7.453125" style="14" customWidth="1"/>
    <col min="30" max="30" width="17.453125" style="10" customWidth="1"/>
    <col min="31" max="31" width="9" style="10" customWidth="1"/>
    <col min="32" max="32" width="17" style="15" customWidth="1"/>
    <col min="33" max="33" width="10" style="15" customWidth="1"/>
    <col min="34" max="34" width="6.90625" style="2" customWidth="1"/>
    <col min="35" max="37" width="6.90625" style="14" customWidth="1"/>
    <col min="38" max="40" width="6.90625" style="16" customWidth="1"/>
    <col min="41" max="43" width="6.90625" style="10" customWidth="1"/>
    <col min="44" max="44" width="7.453125" style="10" customWidth="1"/>
    <col min="45" max="45" width="9.90625" style="9" customWidth="1"/>
    <col min="46" max="47" width="7.453125" style="10" customWidth="1"/>
    <col min="48" max="48" width="7.453125" style="17" customWidth="1"/>
    <col min="49" max="50" width="9.453125" style="17" customWidth="1"/>
    <col min="51" max="59" width="8" style="10" customWidth="1"/>
    <col min="60" max="60" width="8.453125" style="10" customWidth="1"/>
    <col min="61" max="61" width="9.453125" style="10" customWidth="1"/>
    <col min="62" max="62" width="4.54296875" style="10" hidden="1" customWidth="1"/>
    <col min="63" max="65" width="4.6328125" style="10" hidden="1" customWidth="1"/>
    <col min="66" max="66" width="4.6328125" style="14" hidden="1" customWidth="1"/>
    <col min="67" max="67" width="4.6328125" style="9" hidden="1" customWidth="1"/>
    <col min="68" max="68" width="4.6328125" style="17" hidden="1" customWidth="1"/>
    <col min="69" max="69" width="12.453125" style="2" customWidth="1"/>
    <col min="70" max="70" width="4.6328125" style="2" hidden="1" customWidth="1"/>
    <col min="71" max="71" width="4.6328125" style="17" hidden="1" customWidth="1"/>
    <col min="72" max="73" width="4.6328125" style="2" hidden="1" customWidth="1"/>
    <col min="74" max="75" width="4.6328125" style="16" hidden="1" customWidth="1"/>
    <col min="76" max="76" width="4.6328125" style="17" hidden="1" customWidth="1"/>
    <col min="77" max="77" width="12.453125" style="10" customWidth="1"/>
    <col min="78" max="81" width="7.453125" style="10" customWidth="1"/>
    <col min="82" max="82" width="7.90625" style="14" customWidth="1"/>
    <col min="83" max="83" width="12.08984375" style="14" customWidth="1"/>
    <col min="84" max="84" width="8.453125" style="10" customWidth="1"/>
    <col min="85" max="88" width="6.453125" style="10" customWidth="1"/>
    <col min="89" max="89" width="10.453125" style="10" customWidth="1"/>
    <col min="90" max="90" width="13.453125" style="10" customWidth="1"/>
    <col min="91" max="91" width="11.08984375" style="10" customWidth="1"/>
    <col min="92" max="93" width="8" style="10" customWidth="1"/>
    <col min="94" max="96" width="8" style="17" customWidth="1"/>
    <col min="97" max="97" width="8.08984375" style="2" customWidth="1"/>
    <col min="98" max="100" width="8.08984375" style="17" customWidth="1"/>
    <col min="101" max="102" width="6.90625" style="17" customWidth="1"/>
    <col min="103" max="103" width="10" style="17" customWidth="1"/>
    <col min="104" max="106" width="8.453125" style="2" customWidth="1"/>
    <col min="107" max="109" width="9.453125" style="2" customWidth="1"/>
    <col min="110" max="110" width="13.90625" style="2" customWidth="1"/>
    <col min="111" max="111" width="2.90625" style="286" customWidth="1"/>
    <col min="112" max="152" width="2.90625" style="286"/>
    <col min="153" max="153" width="2.90625" style="287"/>
    <col min="256" max="16384" width="2.90625" style="1"/>
  </cols>
  <sheetData>
    <row r="1" spans="2:255" ht="6.75" customHeight="1" thickBot="1" x14ac:dyDescent="0.3"/>
    <row r="2" spans="2:255" s="18" customFormat="1" ht="27.75" customHeight="1" thickBot="1" x14ac:dyDescent="0.3">
      <c r="B2" s="447" t="s">
        <v>0</v>
      </c>
      <c r="C2" s="448"/>
      <c r="D2" s="448"/>
      <c r="E2" s="19"/>
      <c r="F2" s="20"/>
      <c r="G2" s="356"/>
      <c r="H2" s="372" t="s">
        <v>1</v>
      </c>
      <c r="I2" s="21"/>
      <c r="J2" s="21"/>
      <c r="K2" s="21"/>
      <c r="L2" s="21"/>
      <c r="M2" s="21"/>
      <c r="N2" s="21"/>
      <c r="O2" s="21"/>
      <c r="P2" s="21"/>
      <c r="Q2" s="22"/>
      <c r="R2" s="373"/>
      <c r="S2" s="373"/>
      <c r="T2" s="373"/>
      <c r="U2" s="373"/>
      <c r="V2" s="373"/>
      <c r="W2" s="373"/>
      <c r="X2" s="23"/>
      <c r="Y2" s="23"/>
      <c r="Z2" s="23"/>
      <c r="AA2" s="23"/>
      <c r="AB2" s="23"/>
      <c r="AC2" s="23"/>
      <c r="AD2" s="24"/>
      <c r="AE2" s="374"/>
      <c r="AF2" s="374"/>
      <c r="AG2" s="374"/>
      <c r="AH2" s="23"/>
      <c r="AI2" s="374"/>
      <c r="AJ2" s="374"/>
      <c r="AK2" s="374"/>
      <c r="AL2" s="374"/>
      <c r="AM2" s="374"/>
      <c r="AN2" s="374"/>
      <c r="AO2" s="374"/>
      <c r="AP2" s="374"/>
      <c r="AQ2" s="374"/>
      <c r="AR2" s="374"/>
      <c r="AS2" s="375"/>
      <c r="AT2" s="374"/>
      <c r="AU2" s="374"/>
      <c r="AV2" s="374"/>
      <c r="AW2" s="25"/>
      <c r="AX2" s="25"/>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5"/>
      <c r="CO2" s="25"/>
      <c r="CP2" s="25"/>
      <c r="CQ2" s="25"/>
      <c r="CR2" s="25"/>
      <c r="CS2" s="25"/>
      <c r="CT2" s="25"/>
      <c r="CU2" s="25"/>
      <c r="CV2" s="25"/>
      <c r="CW2" s="27"/>
      <c r="CX2" s="27"/>
      <c r="CY2" s="27"/>
      <c r="CZ2" s="27"/>
      <c r="DA2" s="27"/>
      <c r="DB2" s="27"/>
      <c r="DC2" s="27"/>
      <c r="DD2" s="27"/>
      <c r="DE2" s="27"/>
      <c r="DF2" s="28"/>
      <c r="DG2" s="364"/>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6"/>
      <c r="EU2" s="286"/>
      <c r="EV2" s="286"/>
      <c r="EW2" s="364"/>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2:255" s="18" customFormat="1" ht="33" customHeight="1" thickBot="1" x14ac:dyDescent="0.3">
      <c r="B3" s="449"/>
      <c r="C3" s="450"/>
      <c r="D3" s="450"/>
      <c r="E3" s="30"/>
      <c r="F3" s="376"/>
      <c r="G3" s="377"/>
      <c r="H3" s="378" t="s">
        <v>2</v>
      </c>
      <c r="I3" s="374"/>
      <c r="J3" s="374"/>
      <c r="K3" s="374"/>
      <c r="L3" s="374"/>
      <c r="M3" s="374"/>
      <c r="N3" s="374"/>
      <c r="O3" s="374"/>
      <c r="P3" s="379"/>
      <c r="Q3" s="451" t="s">
        <v>3</v>
      </c>
      <c r="R3" s="451"/>
      <c r="S3" s="451"/>
      <c r="T3" s="451"/>
      <c r="U3" s="451"/>
      <c r="V3" s="451"/>
      <c r="W3" s="380"/>
      <c r="X3" s="452" t="s">
        <v>4</v>
      </c>
      <c r="Y3" s="452"/>
      <c r="Z3" s="452"/>
      <c r="AA3" s="452"/>
      <c r="AB3" s="452"/>
      <c r="AC3" s="452"/>
      <c r="AD3" s="453" t="s">
        <v>5</v>
      </c>
      <c r="AE3" s="453"/>
      <c r="AF3" s="453"/>
      <c r="AG3" s="453"/>
      <c r="AH3" s="452" t="s">
        <v>6</v>
      </c>
      <c r="AI3" s="452"/>
      <c r="AJ3" s="452"/>
      <c r="AK3" s="452"/>
      <c r="AL3" s="452"/>
      <c r="AM3" s="452"/>
      <c r="AN3" s="452"/>
      <c r="AO3" s="452"/>
      <c r="AP3" s="452"/>
      <c r="AQ3" s="452"/>
      <c r="AR3" s="452"/>
      <c r="AS3" s="452"/>
      <c r="AT3" s="452"/>
      <c r="AU3" s="452"/>
      <c r="AV3" s="452"/>
      <c r="AW3" s="454" t="s">
        <v>7</v>
      </c>
      <c r="AX3" s="454"/>
      <c r="AY3" s="446" t="s">
        <v>8</v>
      </c>
      <c r="AZ3" s="446"/>
      <c r="BA3" s="446"/>
      <c r="BB3" s="446"/>
      <c r="BC3" s="446"/>
      <c r="BD3" s="446"/>
      <c r="BE3" s="446"/>
      <c r="BF3" s="446"/>
      <c r="BG3" s="446"/>
      <c r="BH3" s="446"/>
      <c r="BI3" s="446"/>
      <c r="BJ3" s="442" t="s">
        <v>9</v>
      </c>
      <c r="BK3" s="442"/>
      <c r="BL3" s="442"/>
      <c r="BM3" s="442"/>
      <c r="BN3" s="442"/>
      <c r="BO3" s="442"/>
      <c r="BP3" s="442"/>
      <c r="BQ3" s="442"/>
      <c r="BR3" s="446" t="s">
        <v>10</v>
      </c>
      <c r="BS3" s="446"/>
      <c r="BT3" s="446"/>
      <c r="BU3" s="446"/>
      <c r="BV3" s="446"/>
      <c r="BW3" s="446"/>
      <c r="BX3" s="446"/>
      <c r="BY3" s="446"/>
      <c r="BZ3" s="442" t="s">
        <v>11</v>
      </c>
      <c r="CA3" s="442"/>
      <c r="CB3" s="442"/>
      <c r="CC3" s="442"/>
      <c r="CD3" s="442"/>
      <c r="CE3" s="442"/>
      <c r="CF3" s="442"/>
      <c r="CG3" s="446" t="s">
        <v>12</v>
      </c>
      <c r="CH3" s="446"/>
      <c r="CI3" s="446"/>
      <c r="CJ3" s="446"/>
      <c r="CK3" s="446"/>
      <c r="CL3" s="446"/>
      <c r="CM3" s="446"/>
      <c r="CN3" s="442" t="s">
        <v>13</v>
      </c>
      <c r="CO3" s="442"/>
      <c r="CP3" s="442"/>
      <c r="CQ3" s="442"/>
      <c r="CR3" s="442"/>
      <c r="CS3" s="442"/>
      <c r="CT3" s="442"/>
      <c r="CU3" s="442"/>
      <c r="CV3" s="442"/>
      <c r="CW3" s="440" t="s">
        <v>14</v>
      </c>
      <c r="CX3" s="440"/>
      <c r="CY3" s="440"/>
      <c r="CZ3" s="441" t="s">
        <v>15</v>
      </c>
      <c r="DA3" s="441"/>
      <c r="DB3" s="441"/>
      <c r="DC3" s="441"/>
      <c r="DD3" s="441"/>
      <c r="DE3" s="441"/>
      <c r="DF3" s="381" t="s">
        <v>16</v>
      </c>
      <c r="DG3" s="364"/>
      <c r="DH3" s="286"/>
      <c r="DI3" s="286"/>
      <c r="DJ3" s="286"/>
      <c r="DK3" s="286"/>
      <c r="DL3" s="286"/>
      <c r="DM3" s="286"/>
      <c r="DN3" s="286"/>
      <c r="DO3" s="286"/>
      <c r="DP3" s="286"/>
      <c r="DQ3" s="286"/>
      <c r="DR3" s="286"/>
      <c r="DS3" s="286"/>
      <c r="DT3" s="286"/>
      <c r="DU3" s="286"/>
      <c r="DV3" s="286"/>
      <c r="DW3" s="286"/>
      <c r="DX3" s="286"/>
      <c r="DY3" s="286"/>
      <c r="DZ3" s="286"/>
      <c r="EA3" s="286"/>
      <c r="EB3" s="286"/>
      <c r="EC3" s="286"/>
      <c r="ED3" s="286"/>
      <c r="EE3" s="286"/>
      <c r="EF3" s="286"/>
      <c r="EG3" s="286"/>
      <c r="EH3" s="286"/>
      <c r="EI3" s="286"/>
      <c r="EJ3" s="286"/>
      <c r="EK3" s="286"/>
      <c r="EL3" s="286"/>
      <c r="EM3" s="286"/>
      <c r="EN3" s="286"/>
      <c r="EO3" s="286"/>
      <c r="EP3" s="286"/>
      <c r="EQ3" s="286"/>
      <c r="ER3" s="286"/>
      <c r="ES3" s="286"/>
      <c r="ET3" s="286"/>
      <c r="EU3" s="286"/>
      <c r="EV3" s="286"/>
      <c r="EW3" s="364"/>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2:255" ht="39.5" thickBot="1" x14ac:dyDescent="0.3">
      <c r="B4" s="382" t="s">
        <v>17</v>
      </c>
      <c r="C4" s="382" t="s">
        <v>18</v>
      </c>
      <c r="D4" s="383" t="s">
        <v>19</v>
      </c>
      <c r="E4" s="384" t="s">
        <v>20</v>
      </c>
      <c r="F4" s="385" t="s">
        <v>21</v>
      </c>
      <c r="G4" s="385" t="s">
        <v>1061</v>
      </c>
      <c r="H4" s="386" t="s">
        <v>22</v>
      </c>
      <c r="I4" s="387" t="s">
        <v>1058</v>
      </c>
      <c r="J4" s="388" t="s">
        <v>24</v>
      </c>
      <c r="K4" s="389" t="s">
        <v>25</v>
      </c>
      <c r="L4" s="388" t="s">
        <v>26</v>
      </c>
      <c r="M4" s="388" t="s">
        <v>27</v>
      </c>
      <c r="N4" s="390" t="s">
        <v>28</v>
      </c>
      <c r="O4" s="390" t="s">
        <v>29</v>
      </c>
      <c r="P4" s="391" t="s">
        <v>30</v>
      </c>
      <c r="Q4" s="392" t="s">
        <v>31</v>
      </c>
      <c r="R4" s="393" t="s">
        <v>32</v>
      </c>
      <c r="S4" s="393" t="s">
        <v>33</v>
      </c>
      <c r="T4" s="393" t="s">
        <v>34</v>
      </c>
      <c r="U4" s="393" t="s">
        <v>35</v>
      </c>
      <c r="V4" s="388" t="s">
        <v>36</v>
      </c>
      <c r="W4" s="394" t="s">
        <v>37</v>
      </c>
      <c r="X4" s="395" t="s">
        <v>38</v>
      </c>
      <c r="Y4" s="396" t="s">
        <v>39</v>
      </c>
      <c r="Z4" s="397" t="s">
        <v>40</v>
      </c>
      <c r="AA4" s="397" t="s">
        <v>41</v>
      </c>
      <c r="AB4" s="396" t="s">
        <v>42</v>
      </c>
      <c r="AC4" s="398" t="s">
        <v>43</v>
      </c>
      <c r="AD4" s="399" t="s">
        <v>44</v>
      </c>
      <c r="AE4" s="388" t="s">
        <v>45</v>
      </c>
      <c r="AF4" s="400" t="s">
        <v>46</v>
      </c>
      <c r="AG4" s="401" t="s">
        <v>47</v>
      </c>
      <c r="AH4" s="402" t="s">
        <v>48</v>
      </c>
      <c r="AI4" s="403" t="s">
        <v>49</v>
      </c>
      <c r="AJ4" s="403" t="s">
        <v>50</v>
      </c>
      <c r="AK4" s="403" t="s">
        <v>51</v>
      </c>
      <c r="AL4" s="403" t="s">
        <v>52</v>
      </c>
      <c r="AM4" s="403" t="s">
        <v>53</v>
      </c>
      <c r="AN4" s="403" t="s">
        <v>54</v>
      </c>
      <c r="AO4" s="403" t="s">
        <v>55</v>
      </c>
      <c r="AP4" s="403" t="s">
        <v>56</v>
      </c>
      <c r="AQ4" s="403" t="s">
        <v>57</v>
      </c>
      <c r="AR4" s="393" t="s">
        <v>58</v>
      </c>
      <c r="AS4" s="390" t="s">
        <v>59</v>
      </c>
      <c r="AT4" s="403" t="s">
        <v>60</v>
      </c>
      <c r="AU4" s="393" t="s">
        <v>61</v>
      </c>
      <c r="AV4" s="391" t="s">
        <v>62</v>
      </c>
      <c r="AW4" s="392" t="s">
        <v>63</v>
      </c>
      <c r="AX4" s="404" t="s">
        <v>64</v>
      </c>
      <c r="AY4" s="402" t="s">
        <v>65</v>
      </c>
      <c r="AZ4" s="403" t="s">
        <v>66</v>
      </c>
      <c r="BA4" s="403" t="s">
        <v>67</v>
      </c>
      <c r="BB4" s="403" t="s">
        <v>68</v>
      </c>
      <c r="BC4" s="403" t="s">
        <v>69</v>
      </c>
      <c r="BD4" s="403" t="s">
        <v>70</v>
      </c>
      <c r="BE4" s="393" t="s">
        <v>71</v>
      </c>
      <c r="BF4" s="393" t="s">
        <v>72</v>
      </c>
      <c r="BG4" s="393" t="s">
        <v>73</v>
      </c>
      <c r="BH4" s="390" t="s">
        <v>59</v>
      </c>
      <c r="BI4" s="391" t="s">
        <v>74</v>
      </c>
      <c r="BJ4" s="405" t="s">
        <v>75</v>
      </c>
      <c r="BK4" s="403" t="s">
        <v>76</v>
      </c>
      <c r="BL4" s="389" t="s">
        <v>77</v>
      </c>
      <c r="BM4" s="389" t="s">
        <v>78</v>
      </c>
      <c r="BN4" s="403" t="s">
        <v>79</v>
      </c>
      <c r="BO4" s="389" t="s">
        <v>80</v>
      </c>
      <c r="BP4" s="389" t="s">
        <v>81</v>
      </c>
      <c r="BQ4" s="404" t="s">
        <v>82</v>
      </c>
      <c r="BR4" s="402" t="s">
        <v>83</v>
      </c>
      <c r="BS4" s="403" t="s">
        <v>84</v>
      </c>
      <c r="BT4" s="403" t="s">
        <v>85</v>
      </c>
      <c r="BU4" s="403" t="s">
        <v>86</v>
      </c>
      <c r="BV4" s="403" t="s">
        <v>87</v>
      </c>
      <c r="BW4" s="403" t="s">
        <v>88</v>
      </c>
      <c r="BX4" s="403" t="s">
        <v>89</v>
      </c>
      <c r="BY4" s="391" t="s">
        <v>90</v>
      </c>
      <c r="BZ4" s="406" t="s">
        <v>91</v>
      </c>
      <c r="CA4" s="403" t="s">
        <v>92</v>
      </c>
      <c r="CB4" s="403" t="s">
        <v>93</v>
      </c>
      <c r="CC4" s="403" t="s">
        <v>94</v>
      </c>
      <c r="CD4" s="393" t="s">
        <v>95</v>
      </c>
      <c r="CE4" s="393" t="s">
        <v>96</v>
      </c>
      <c r="CF4" s="404" t="s">
        <v>97</v>
      </c>
      <c r="CG4" s="402" t="s">
        <v>98</v>
      </c>
      <c r="CH4" s="403" t="s">
        <v>99</v>
      </c>
      <c r="CI4" s="403" t="s">
        <v>100</v>
      </c>
      <c r="CJ4" s="403" t="s">
        <v>101</v>
      </c>
      <c r="CK4" s="388" t="s">
        <v>102</v>
      </c>
      <c r="CL4" s="393" t="s">
        <v>59</v>
      </c>
      <c r="CM4" s="394" t="s">
        <v>103</v>
      </c>
      <c r="CN4" s="407" t="s">
        <v>104</v>
      </c>
      <c r="CO4" s="388" t="s">
        <v>105</v>
      </c>
      <c r="CP4" s="393" t="s">
        <v>106</v>
      </c>
      <c r="CQ4" s="393" t="s">
        <v>107</v>
      </c>
      <c r="CR4" s="408" t="s">
        <v>108</v>
      </c>
      <c r="CS4" s="388" t="s">
        <v>109</v>
      </c>
      <c r="CT4" s="393" t="s">
        <v>110</v>
      </c>
      <c r="CU4" s="393" t="s">
        <v>111</v>
      </c>
      <c r="CV4" s="409" t="s">
        <v>112</v>
      </c>
      <c r="CW4" s="410" t="s">
        <v>113</v>
      </c>
      <c r="CX4" s="393" t="s">
        <v>114</v>
      </c>
      <c r="CY4" s="391" t="s">
        <v>115</v>
      </c>
      <c r="CZ4" s="407" t="s">
        <v>116</v>
      </c>
      <c r="DA4" s="388" t="s">
        <v>117</v>
      </c>
      <c r="DB4" s="388" t="s">
        <v>118</v>
      </c>
      <c r="DC4" s="388" t="s">
        <v>119</v>
      </c>
      <c r="DD4" s="388" t="s">
        <v>120</v>
      </c>
      <c r="DE4" s="409" t="s">
        <v>121</v>
      </c>
      <c r="DF4" s="411" t="s">
        <v>122</v>
      </c>
      <c r="DG4" s="412"/>
    </row>
    <row r="5" spans="2:255" ht="15.5" x14ac:dyDescent="0.25">
      <c r="B5" s="414"/>
      <c r="C5" s="419" t="s">
        <v>977</v>
      </c>
      <c r="D5" s="263" t="s">
        <v>920</v>
      </c>
      <c r="E5" s="264" t="s">
        <v>980</v>
      </c>
      <c r="F5" s="415">
        <f t="shared" ref="F5:F36" si="0">IF(RW=0,0,DLF*(0.93*RL^LF*RSA^0.4/RW^0.325))</f>
        <v>0.7749461988076668</v>
      </c>
      <c r="G5" s="415" t="str">
        <f t="shared" ref="G5:G36" ca="1" si="1">IF(F5&gt;0,IF(OR(TODAY()-3650&gt;I5,CW5="ERROR",CX5="ERROR"),"No","Yes"),0)</f>
        <v>Yes</v>
      </c>
      <c r="H5" s="51" t="str">
        <f t="shared" ref="H5:H36" si="2">IF(CY5="","",IF(CY5="MG","Main - Genoa",IF(CY5="MGScr","Main - Genoa - Screacher",IF(CY5="MGSp","Main - Genoa - Spinnaker",IF(CY5="MGScrSp","Main - Genoa - Screacher - Spinnaker","Invalid"))))&amp;IF(AS&gt;0," - Staysail ","")&amp;IF(AD&gt;0," - Drifter","")&amp;IF(RSAMZ&gt;0," - Mizzen","")&amp;IF(RSA2M&gt;0," - Bi-Rig",""))</f>
        <v>Main - Genoa - Spinnaker</v>
      </c>
      <c r="I5" s="265">
        <v>43115</v>
      </c>
      <c r="J5" s="265">
        <v>43115</v>
      </c>
      <c r="K5" s="266" t="s">
        <v>136</v>
      </c>
      <c r="L5" s="266" t="s">
        <v>841</v>
      </c>
      <c r="M5" s="267"/>
      <c r="N5" s="268" t="s">
        <v>127</v>
      </c>
      <c r="O5" s="268" t="s">
        <v>138</v>
      </c>
      <c r="P5" s="269"/>
      <c r="Q5" s="270">
        <v>7.32</v>
      </c>
      <c r="R5" s="271"/>
      <c r="S5" s="59">
        <f t="shared" ref="S5:S34" si="3">IF((LOAA&gt;LOA),0.025*LOAA,0.025*LOA)</f>
        <v>0.18300000000000002</v>
      </c>
      <c r="T5" s="272">
        <v>0.01</v>
      </c>
      <c r="U5" s="272"/>
      <c r="V5" s="61">
        <f>IF((LOAA&gt;LOA),LOAA,LOA-FOC-AOC)</f>
        <v>7.3100000000000005</v>
      </c>
      <c r="W5" s="62">
        <f>IF(RL&gt;0,IF(RL&gt;'Look Ups'!R$7,'Look Ups'!R$8,('Look Ups'!R$3*RL^3+'Look Ups'!R$4*RL^2+'Look Ups'!R$5*RL+'Look Ups'!R$6)),0)</f>
        <v>0.29112485040300001</v>
      </c>
      <c r="X5" s="273">
        <f>1750-480-10</f>
        <v>1260</v>
      </c>
      <c r="Y5" s="274"/>
      <c r="Z5" s="274"/>
      <c r="AA5" s="274"/>
      <c r="AB5" s="65">
        <f t="shared" ref="AB5:AB36" si="4">WM+WE</f>
        <v>1260</v>
      </c>
      <c r="AC5" s="66">
        <f t="shared" ref="AC5:AC36" si="5">WS+WCD+4*NC</f>
        <v>1260</v>
      </c>
      <c r="AD5" s="275" t="s">
        <v>129</v>
      </c>
      <c r="AE5" s="276" t="s">
        <v>130</v>
      </c>
      <c r="AF5" s="277" t="s">
        <v>131</v>
      </c>
      <c r="AG5" s="70">
        <f>IF(C5="",0,VLOOKUP(AD5,'Look Ups'!$B$3:$C$6,2,0)*VLOOKUP(AE5,'Look Ups'!$E$3:$F$5,2,0)*VLOOKUP(AF5,'Look Ups'!$H$3:$I$7,2,0))</f>
        <v>1</v>
      </c>
      <c r="AH5" s="278">
        <v>10.01</v>
      </c>
      <c r="AI5" s="272">
        <v>9.68</v>
      </c>
      <c r="AJ5" s="272">
        <v>3.09</v>
      </c>
      <c r="AK5" s="272">
        <v>1.2</v>
      </c>
      <c r="AL5" s="272">
        <v>0.33</v>
      </c>
      <c r="AM5" s="272">
        <v>9.73</v>
      </c>
      <c r="AN5" s="272">
        <v>0.08</v>
      </c>
      <c r="AO5" s="272">
        <v>3.21</v>
      </c>
      <c r="AP5" s="272">
        <v>0.02</v>
      </c>
      <c r="AQ5" s="272">
        <v>0.48</v>
      </c>
      <c r="AR5" s="272" t="s">
        <v>132</v>
      </c>
      <c r="AS5" s="281" t="s">
        <v>978</v>
      </c>
      <c r="AT5" s="59">
        <f t="shared" ref="AT5:AT36" si="6">P+ER</f>
        <v>9.75</v>
      </c>
      <c r="AU5" s="59">
        <f t="shared" ref="AU5:AU36" si="7">P*0.375*MC</f>
        <v>1.7514000000000001</v>
      </c>
      <c r="AV5" s="72">
        <f>IF(C5="",0,(0.5*(_ML1*LPM)+0.5*(_ML1*HB)+0.66*(P*PR)+0.66*(_ML2*RDM)+0.66*(E*ER))*VLOOKUP(BATT,'Look Ups'!$N$3:$O$4,2,0))</f>
        <v>24.135869999999997</v>
      </c>
      <c r="AW5" s="279"/>
      <c r="AX5" s="280"/>
      <c r="AY5" s="278">
        <v>8.7799999999999994</v>
      </c>
      <c r="AZ5" s="272">
        <v>2.67</v>
      </c>
      <c r="BA5" s="272">
        <v>2.84</v>
      </c>
      <c r="BB5" s="272">
        <v>0.11</v>
      </c>
      <c r="BC5" s="272">
        <v>8.11</v>
      </c>
      <c r="BD5" s="272"/>
      <c r="BE5" s="272"/>
      <c r="BF5" s="272">
        <v>0.05</v>
      </c>
      <c r="BG5" s="272"/>
      <c r="BH5" s="281"/>
      <c r="BI5" s="72">
        <f t="shared" ref="BI5:BI36" si="8">(0.5*LL*LPG)+(0.5*_LG1*HG)+(0.66*LL*LLRG)+(0.66*FG*FRG)+(IF((HG&gt;0),(0.66*_LG2*LRG),(0.66*_LG1*LRG)))</f>
        <v>12.195114</v>
      </c>
      <c r="BJ5" s="282"/>
      <c r="BK5" s="283"/>
      <c r="BL5" s="284"/>
      <c r="BM5" s="284"/>
      <c r="BN5" s="283"/>
      <c r="BO5" s="284"/>
      <c r="BP5" s="284"/>
      <c r="BQ5" s="79">
        <f t="shared" ref="BQ5:BQ36" si="9">(0.5*LLS*LPS)+(0.66*LLS*LLRS)+(0.66*LS*LRS)+(0.66*FS*FRS)</f>
        <v>0</v>
      </c>
      <c r="BR5" s="285"/>
      <c r="BS5" s="283"/>
      <c r="BT5" s="283"/>
      <c r="BU5" s="283"/>
      <c r="BV5" s="283"/>
      <c r="BW5" s="283"/>
      <c r="BX5" s="283"/>
      <c r="BY5" s="72">
        <f t="shared" ref="BY5:BY36" si="10">(0.5*LLD*LPD)+(0.66*LLD*LLRD)+(0.66*LCHD*LRD)+(0.66*FD*FRD)</f>
        <v>0</v>
      </c>
      <c r="BZ5" s="279">
        <v>6.9</v>
      </c>
      <c r="CA5" s="272">
        <v>10.75</v>
      </c>
      <c r="CB5" s="272">
        <v>9.69</v>
      </c>
      <c r="CC5" s="272">
        <v>5.52</v>
      </c>
      <c r="CD5" s="65">
        <f t="shared" ref="CD5:CD36" si="11">IF(SF&gt;0,SMG/SF*100,"")</f>
        <v>80</v>
      </c>
      <c r="CE5" s="272"/>
      <c r="CF5" s="79">
        <f t="shared" ref="CF5:CF36" si="12">SF*(_SL1+_SL2)/4+(SMG-SF/2)*(_SL1+_SL2)/3</f>
        <v>49.362599999999993</v>
      </c>
      <c r="CG5" s="71"/>
      <c r="CH5" s="272"/>
      <c r="CI5" s="272"/>
      <c r="CJ5" s="272"/>
      <c r="CK5" s="59" t="str">
        <f t="shared" ref="CK5:CK36" si="13">IF(CG5&gt;0,CJ5/CG5*100,"")</f>
        <v/>
      </c>
      <c r="CL5" s="272"/>
      <c r="CM5" s="72">
        <f t="shared" ref="CM5:CM36" si="14">SCRF*(ScrL1+ScrL2)/4+(ScrMG-SCRF/2)*(ScrL1+ScrL2)/3</f>
        <v>0</v>
      </c>
      <c r="CN5" s="81">
        <f t="shared" ref="CN5:CN36" si="15">IF(ZVAL=1,1,IF(LPM&gt;0,0.64*((AM+MAM)/(E+(MC/2))^2)^0.3,0))</f>
        <v>1</v>
      </c>
      <c r="CO5" s="59">
        <f t="shared" ref="CO5:CO36" si="16">0.65*((AM+MAM)*EFM)+0.35*((AM+MAM)*ZVAL)</f>
        <v>25.887269999999997</v>
      </c>
      <c r="CP5" s="59">
        <f t="shared" ref="CP5:CP36" si="17">IF(ZVAL=1,1,IF(LPG&gt;0,0.72*(AG/(LPG^2))^0.3,0))</f>
        <v>1</v>
      </c>
      <c r="CQ5" s="59">
        <f t="shared" ref="CQ5:CQ36" si="18">AG*EFG</f>
        <v>12.195114</v>
      </c>
      <c r="CR5" s="59">
        <f>IF(AV5&gt;0,'Look Ups'!$L$3,0)</f>
        <v>1</v>
      </c>
      <c r="CS5" s="59">
        <f t="shared" ref="CS5:CS36" si="19">IF(LPS&gt;0,0.72*(AS/(LPS^2))^0.3,0)</f>
        <v>0</v>
      </c>
      <c r="CT5" s="59">
        <f t="shared" ref="CT5:CT36" si="20">EFS*AS</f>
        <v>0</v>
      </c>
      <c r="CU5" s="59">
        <f t="shared" ref="CU5:CU36" si="21">IF(LPD&gt;0,0.72*(AD/(LPD^2))^0.3,0)</f>
        <v>0</v>
      </c>
      <c r="CV5" s="79">
        <f t="shared" ref="CV5:CV36" si="22">IF((AD-AG)&gt;0,0.3*(AD-AG)*EFD,0)</f>
        <v>0</v>
      </c>
      <c r="CW5" s="82" t="str">
        <f t="shared" ref="CW5:CW36" si="23">IF((SCRF=0),"-",IF(AND(MSASC&gt;AG,ScrMG&gt;=(0.5*SCRF),ScrMG&lt;(0.75*SCRF)),"valid","ERROR"))</f>
        <v>-</v>
      </c>
      <c r="CX5" s="65" t="str">
        <f t="shared" ref="CX5:CX36" si="24">IF((SF=0),"-",IF((SMG&lt;(0.75*SF)),"ERROR",IF(AND(MSASP&gt;MSASC,MSASP&gt;AG,MSASP&gt;=0.36*RSAM),"valid",0)))</f>
        <v>valid</v>
      </c>
      <c r="CY5" s="66" t="str">
        <f t="shared" ref="CY5:CY36" si="25">IF(C5="","",IF(CW5="valid",IF(CX5="valid","MGScrSp","MGScr"),IF(CX5="valid","MGSp","MG")))</f>
        <v>MGSp</v>
      </c>
      <c r="CZ5" s="81">
        <f t="shared" ref="CZ5:CZ36" si="26">RSAM+RSAG</f>
        <v>38.082383999999998</v>
      </c>
      <c r="DA5" s="59">
        <f t="shared" ref="DA5:DA36" si="27">IF(MSASP&gt;0,0.3*(ZVAL*MSASP-RSAG),0)</f>
        <v>11.150245799999999</v>
      </c>
      <c r="DB5" s="59">
        <f t="shared" ref="DB5:DB36" si="28">IF(AND(MSASC&gt;0,(MSASC&gt;=0.36*RSAM)),(0.35*(ZVAL*MSASC-RSAG)),(0))</f>
        <v>0</v>
      </c>
      <c r="DC5" s="59">
        <f t="shared" ref="DC5:DC36" si="29">IF(MSASP&gt;0,0.295*(ZVAL*MSASP-RSAG),0)</f>
        <v>10.964408369999999</v>
      </c>
      <c r="DD5" s="59">
        <f t="shared" ref="DD5:DD36" si="30">IF(MSASC&gt;0,0.055*(MSASC-RSAG),0)</f>
        <v>0</v>
      </c>
      <c r="DE5" s="79">
        <f t="shared" ref="DE5:DE36" si="31">RSAMG+(ZVAL*0.3*0.36*(RSAM-RSAG))</f>
        <v>39.561136847999997</v>
      </c>
      <c r="DF5" s="83">
        <f t="shared" ref="DF5:DF36" si="32">IF(CY5="MG",DE5,IF(CY5="MGScr",RAMG+RASCO,IF(CY5="MGSp",RAMG+RASPO,IF(CY5="MGScrSp",RAMG+RASPSC+RASCR,0))))+RSAST+RSAD+RSAMZ+RSA2M</f>
        <v>49.232629799999998</v>
      </c>
      <c r="DG5" s="412"/>
    </row>
    <row r="6" spans="2:255" s="287" customFormat="1" ht="16.5" customHeight="1" x14ac:dyDescent="0.25">
      <c r="B6" s="416"/>
      <c r="C6" s="414" t="s">
        <v>988</v>
      </c>
      <c r="D6" s="48" t="s">
        <v>152</v>
      </c>
      <c r="E6" s="49" t="s">
        <v>989</v>
      </c>
      <c r="F6" s="415">
        <f t="shared" si="0"/>
        <v>0.84624336945753298</v>
      </c>
      <c r="G6" s="415" t="str">
        <f t="shared" ca="1" si="1"/>
        <v>Yes</v>
      </c>
      <c r="H6" s="51" t="str">
        <f t="shared" si="2"/>
        <v>Main - Genoa - Screacher - Spinnaker</v>
      </c>
      <c r="I6" s="52">
        <v>43682</v>
      </c>
      <c r="J6" s="52">
        <v>43682</v>
      </c>
      <c r="K6" s="53" t="s">
        <v>904</v>
      </c>
      <c r="L6" s="53" t="s">
        <v>841</v>
      </c>
      <c r="M6" s="54"/>
      <c r="N6" s="55" t="s">
        <v>127</v>
      </c>
      <c r="O6" s="55" t="s">
        <v>128</v>
      </c>
      <c r="P6" s="86"/>
      <c r="Q6" s="57">
        <v>8.18</v>
      </c>
      <c r="R6" s="58"/>
      <c r="S6" s="59">
        <f t="shared" si="3"/>
        <v>0.20450000000000002</v>
      </c>
      <c r="T6" s="60"/>
      <c r="U6" s="60">
        <v>0</v>
      </c>
      <c r="V6" s="61">
        <f>IF((LOAA&gt;LOA),LOAA,LOA-FOC-AOC)</f>
        <v>8.18</v>
      </c>
      <c r="W6" s="62">
        <f>IF(RL&gt;0,IF(RL&gt;'Look Ups'!R$7,'Look Ups'!R$8,('Look Ups'!R$3*RL^3+'Look Ups'!R$4*RL^2+'Look Ups'!R$5*RL+'Look Ups'!R$6)),0)</f>
        <v>0.294394973256</v>
      </c>
      <c r="X6" s="63">
        <v>1430</v>
      </c>
      <c r="Y6" s="64"/>
      <c r="Z6" s="64"/>
      <c r="AA6" s="64"/>
      <c r="AB6" s="65">
        <f t="shared" si="4"/>
        <v>1430</v>
      </c>
      <c r="AC6" s="66">
        <f t="shared" si="5"/>
        <v>1430</v>
      </c>
      <c r="AD6" s="67" t="s">
        <v>154</v>
      </c>
      <c r="AE6" s="68" t="s">
        <v>130</v>
      </c>
      <c r="AF6" s="69" t="s">
        <v>131</v>
      </c>
      <c r="AG6" s="70">
        <f>IF(C6="",0,VLOOKUP(AD6,'Look Ups'!$B$3:$C$6,2,0)*VLOOKUP(AE6,'Look Ups'!$E$3:$F$5,2,0)*VLOOKUP(AF6,'Look Ups'!$H$3:$I$7,2,0))</f>
        <v>0.99</v>
      </c>
      <c r="AH6" s="71">
        <v>10.68</v>
      </c>
      <c r="AI6" s="60">
        <v>10.46</v>
      </c>
      <c r="AJ6" s="60">
        <v>3.14</v>
      </c>
      <c r="AK6" s="60">
        <v>1.29</v>
      </c>
      <c r="AL6" s="60">
        <v>0.52</v>
      </c>
      <c r="AM6" s="60">
        <v>10.49</v>
      </c>
      <c r="AN6" s="60">
        <v>0.09</v>
      </c>
      <c r="AO6" s="60">
        <v>3.25</v>
      </c>
      <c r="AP6" s="60">
        <v>0.02</v>
      </c>
      <c r="AQ6" s="60">
        <v>0.49</v>
      </c>
      <c r="AR6" s="60" t="s">
        <v>132</v>
      </c>
      <c r="AS6" s="75"/>
      <c r="AT6" s="59">
        <f t="shared" si="6"/>
        <v>10.51</v>
      </c>
      <c r="AU6" s="59">
        <f t="shared" si="7"/>
        <v>1.9275374999999999</v>
      </c>
      <c r="AV6" s="72">
        <f>IF(C6="",0,(0.5*(_ML1*LPM)+0.5*(_ML1*HB)+0.66*(P*PR)+0.66*(_ML2*RDM)+0.66*(E*ER))*VLOOKUP(BATT,'Look Ups'!$N$3:$O$4,2,0))</f>
        <v>27.912078000000001</v>
      </c>
      <c r="AW6" s="73"/>
      <c r="AX6" s="74"/>
      <c r="AY6" s="71">
        <v>8.6999999999999993</v>
      </c>
      <c r="AZ6" s="60">
        <v>2.74</v>
      </c>
      <c r="BA6" s="60">
        <v>3</v>
      </c>
      <c r="BB6" s="60">
        <v>0.18</v>
      </c>
      <c r="BC6" s="60">
        <v>7.9</v>
      </c>
      <c r="BD6" s="60"/>
      <c r="BE6" s="60"/>
      <c r="BF6" s="60"/>
      <c r="BG6" s="60">
        <v>0.02</v>
      </c>
      <c r="BH6" s="58"/>
      <c r="BI6" s="72">
        <f t="shared" si="8"/>
        <v>12.39024</v>
      </c>
      <c r="BJ6" s="76"/>
      <c r="BK6" s="77"/>
      <c r="BL6" s="78"/>
      <c r="BM6" s="78"/>
      <c r="BN6" s="77"/>
      <c r="BO6" s="78"/>
      <c r="BP6" s="78"/>
      <c r="BQ6" s="79">
        <f t="shared" si="9"/>
        <v>0</v>
      </c>
      <c r="BR6" s="80"/>
      <c r="BS6" s="77"/>
      <c r="BT6" s="77"/>
      <c r="BU6" s="77"/>
      <c r="BV6" s="77"/>
      <c r="BW6" s="77"/>
      <c r="BX6" s="77"/>
      <c r="BY6" s="72">
        <f t="shared" si="10"/>
        <v>0</v>
      </c>
      <c r="BZ6" s="73">
        <v>7.85</v>
      </c>
      <c r="CA6" s="60">
        <v>11.9</v>
      </c>
      <c r="CB6" s="60">
        <v>10.29</v>
      </c>
      <c r="CC6" s="60">
        <v>8.85</v>
      </c>
      <c r="CD6" s="65">
        <f t="shared" si="11"/>
        <v>112.73885350318471</v>
      </c>
      <c r="CE6" s="60">
        <v>0</v>
      </c>
      <c r="CF6" s="79">
        <f t="shared" si="12"/>
        <v>79.976458333333312</v>
      </c>
      <c r="CG6" s="71">
        <v>6.48</v>
      </c>
      <c r="CH6" s="60">
        <v>9.6300000000000008</v>
      </c>
      <c r="CI6" s="60">
        <v>8.86</v>
      </c>
      <c r="CJ6" s="60">
        <v>3.29</v>
      </c>
      <c r="CK6" s="59">
        <f t="shared" si="13"/>
        <v>50.771604938271594</v>
      </c>
      <c r="CL6" s="60"/>
      <c r="CM6" s="72">
        <f t="shared" si="14"/>
        <v>30.26196666666667</v>
      </c>
      <c r="CN6" s="81">
        <f t="shared" si="15"/>
        <v>1</v>
      </c>
      <c r="CO6" s="59">
        <f t="shared" si="16"/>
        <v>29.839615500000001</v>
      </c>
      <c r="CP6" s="59">
        <f t="shared" si="17"/>
        <v>1</v>
      </c>
      <c r="CQ6" s="59">
        <f t="shared" si="18"/>
        <v>12.39024</v>
      </c>
      <c r="CR6" s="59">
        <f>IF(AV6&gt;0,'Look Ups'!$L$3,0)</f>
        <v>1</v>
      </c>
      <c r="CS6" s="59">
        <f t="shared" si="19"/>
        <v>0</v>
      </c>
      <c r="CT6" s="59">
        <f t="shared" si="20"/>
        <v>0</v>
      </c>
      <c r="CU6" s="59">
        <f t="shared" si="21"/>
        <v>0</v>
      </c>
      <c r="CV6" s="79">
        <f t="shared" si="22"/>
        <v>0</v>
      </c>
      <c r="CW6" s="82" t="str">
        <f t="shared" si="23"/>
        <v>valid</v>
      </c>
      <c r="CX6" s="65" t="str">
        <f t="shared" si="24"/>
        <v>valid</v>
      </c>
      <c r="CY6" s="66" t="str">
        <f t="shared" si="25"/>
        <v>MGScrSp</v>
      </c>
      <c r="CZ6" s="81">
        <f t="shared" si="26"/>
        <v>42.229855499999999</v>
      </c>
      <c r="DA6" s="59">
        <f t="shared" si="27"/>
        <v>20.275865499999991</v>
      </c>
      <c r="DB6" s="59">
        <f t="shared" si="28"/>
        <v>6.2551043333333336</v>
      </c>
      <c r="DC6" s="59">
        <f t="shared" si="29"/>
        <v>19.937934408333323</v>
      </c>
      <c r="DD6" s="59">
        <f t="shared" si="30"/>
        <v>0.98294496666666675</v>
      </c>
      <c r="DE6" s="79">
        <f t="shared" si="31"/>
        <v>44.114388054000003</v>
      </c>
      <c r="DF6" s="83">
        <f t="shared" si="32"/>
        <v>63.150734874999984</v>
      </c>
      <c r="DG6" s="412"/>
      <c r="DH6" s="286"/>
      <c r="DI6" s="286"/>
      <c r="DJ6" s="286"/>
      <c r="DK6" s="286"/>
      <c r="DL6" s="286"/>
      <c r="DM6" s="286"/>
      <c r="DN6" s="286"/>
      <c r="DO6" s="286"/>
      <c r="DP6" s="286"/>
      <c r="DQ6" s="286"/>
      <c r="DR6" s="286"/>
      <c r="DS6" s="286"/>
      <c r="DT6" s="286"/>
      <c r="DU6" s="286"/>
      <c r="DV6" s="286"/>
      <c r="DW6" s="286"/>
      <c r="DX6" s="286"/>
      <c r="DY6" s="286"/>
      <c r="DZ6" s="286"/>
      <c r="EA6" s="286"/>
      <c r="EB6" s="286"/>
      <c r="EC6" s="286"/>
      <c r="ED6" s="286"/>
      <c r="EE6" s="286"/>
      <c r="EF6" s="286"/>
      <c r="EG6" s="286"/>
      <c r="EH6" s="286"/>
      <c r="EI6" s="286"/>
      <c r="EJ6" s="286"/>
      <c r="EK6" s="286"/>
      <c r="EL6" s="286"/>
      <c r="EM6" s="286"/>
      <c r="EN6" s="286"/>
      <c r="EO6" s="286"/>
      <c r="EP6" s="286"/>
      <c r="EQ6" s="286"/>
      <c r="ER6" s="286"/>
      <c r="ES6" s="286"/>
      <c r="ET6" s="286"/>
      <c r="EU6" s="286"/>
      <c r="EV6" s="28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2:255" ht="16.5" customHeight="1" x14ac:dyDescent="0.25">
      <c r="B7" s="418"/>
      <c r="C7" s="414" t="s">
        <v>133</v>
      </c>
      <c r="D7" s="48" t="s">
        <v>134</v>
      </c>
      <c r="E7" s="49" t="s">
        <v>135</v>
      </c>
      <c r="F7" s="415">
        <f t="shared" si="0"/>
        <v>0.90739885374624485</v>
      </c>
      <c r="G7" s="415" t="str">
        <f t="shared" ca="1" si="1"/>
        <v>Yes</v>
      </c>
      <c r="H7" s="51" t="str">
        <f t="shared" si="2"/>
        <v>Main - Genoa - Screacher - Spinnaker</v>
      </c>
      <c r="I7" s="52">
        <v>42019</v>
      </c>
      <c r="J7" s="52">
        <v>42019</v>
      </c>
      <c r="K7" s="53" t="s">
        <v>136</v>
      </c>
      <c r="L7" s="53" t="s">
        <v>137</v>
      </c>
      <c r="M7" s="54"/>
      <c r="N7" s="55" t="s">
        <v>127</v>
      </c>
      <c r="O7" s="55" t="s">
        <v>138</v>
      </c>
      <c r="P7" s="56"/>
      <c r="Q7" s="57">
        <v>9.2100000000000009</v>
      </c>
      <c r="R7" s="58"/>
      <c r="S7" s="59">
        <f t="shared" si="3"/>
        <v>0.23025000000000004</v>
      </c>
      <c r="T7" s="60">
        <v>1.4E-2</v>
      </c>
      <c r="U7" s="60">
        <v>0</v>
      </c>
      <c r="V7" s="61">
        <f>IF((LOAA&gt;LOA),LOAA,LOA-FOC-AOC)</f>
        <v>9.1960000000000015</v>
      </c>
      <c r="W7" s="62">
        <f>IF(RL&gt;0,IF(RL&gt;'Look Ups'!R$7,'Look Ups'!R$8,('Look Ups'!R$3*RL^3+'Look Ups'!R$4*RL^2+'Look Ups'!R$5*RL+'Look Ups'!R$6)),0)</f>
        <v>0.29709221873068803</v>
      </c>
      <c r="X7" s="63">
        <v>2074</v>
      </c>
      <c r="Y7" s="64"/>
      <c r="Z7" s="64"/>
      <c r="AA7" s="64"/>
      <c r="AB7" s="65">
        <f t="shared" si="4"/>
        <v>2074</v>
      </c>
      <c r="AC7" s="66">
        <f t="shared" si="5"/>
        <v>2074</v>
      </c>
      <c r="AD7" s="67" t="s">
        <v>129</v>
      </c>
      <c r="AE7" s="68" t="s">
        <v>130</v>
      </c>
      <c r="AF7" s="69" t="s">
        <v>131</v>
      </c>
      <c r="AG7" s="70">
        <f>IF(C7="",0,VLOOKUP(AD7,'Look Ups'!$B$3:$C$6,2,0)*VLOOKUP(AE7,'Look Ups'!$E$3:$F$5,2,0)*VLOOKUP(AF7,'Look Ups'!$H$3:$I$7,2,0))</f>
        <v>1</v>
      </c>
      <c r="AH7" s="71">
        <v>13.83</v>
      </c>
      <c r="AI7" s="60">
        <v>13.5</v>
      </c>
      <c r="AJ7" s="60">
        <v>3.91</v>
      </c>
      <c r="AK7" s="60">
        <v>1.83</v>
      </c>
      <c r="AL7" s="60">
        <v>0.35</v>
      </c>
      <c r="AM7" s="60">
        <v>13.45</v>
      </c>
      <c r="AN7" s="60">
        <v>0.23</v>
      </c>
      <c r="AO7" s="60">
        <v>4.07</v>
      </c>
      <c r="AP7" s="60">
        <v>0</v>
      </c>
      <c r="AQ7" s="60">
        <v>0.60000000000000009</v>
      </c>
      <c r="AR7" s="60" t="s">
        <v>132</v>
      </c>
      <c r="AS7" s="75">
        <v>0</v>
      </c>
      <c r="AT7" s="59">
        <f t="shared" si="6"/>
        <v>13.45</v>
      </c>
      <c r="AU7" s="59">
        <f t="shared" si="7"/>
        <v>3.0262500000000001</v>
      </c>
      <c r="AV7" s="72">
        <f>IF(C7="",0,(0.5*(_ML1*LPM)+0.5*(_ML1*HB)+0.66*(P*PR)+0.66*(_ML2*RDM)+0.66*(E*ER))*VLOOKUP(BATT,'Look Ups'!$N$3:$O$4,2,0))</f>
        <v>44.852310000000003</v>
      </c>
      <c r="AW7" s="73"/>
      <c r="AX7" s="74"/>
      <c r="AY7" s="71">
        <v>10.88</v>
      </c>
      <c r="AZ7" s="60">
        <v>3.02</v>
      </c>
      <c r="BA7" s="60">
        <v>3.32</v>
      </c>
      <c r="BB7" s="60">
        <v>0.15</v>
      </c>
      <c r="BC7" s="60">
        <v>9.8699999999999992</v>
      </c>
      <c r="BD7" s="60">
        <v>9.8699999999999992</v>
      </c>
      <c r="BE7" s="60">
        <v>0.36</v>
      </c>
      <c r="BF7" s="60">
        <v>7.0000000000000007E-2</v>
      </c>
      <c r="BG7" s="60">
        <v>0.03</v>
      </c>
      <c r="BH7" s="75">
        <v>0</v>
      </c>
      <c r="BI7" s="72">
        <f t="shared" si="8"/>
        <v>19.205497999999999</v>
      </c>
      <c r="BJ7" s="76"/>
      <c r="BK7" s="77"/>
      <c r="BL7" s="78"/>
      <c r="BM7" s="78"/>
      <c r="BN7" s="77"/>
      <c r="BO7" s="78"/>
      <c r="BP7" s="78"/>
      <c r="BQ7" s="79">
        <f t="shared" si="9"/>
        <v>0</v>
      </c>
      <c r="BR7" s="80"/>
      <c r="BS7" s="77"/>
      <c r="BT7" s="77"/>
      <c r="BU7" s="77"/>
      <c r="BV7" s="77"/>
      <c r="BW7" s="77"/>
      <c r="BX7" s="77"/>
      <c r="BY7" s="72">
        <f t="shared" si="10"/>
        <v>0</v>
      </c>
      <c r="BZ7" s="73">
        <v>8.3800000000000008</v>
      </c>
      <c r="CA7" s="60">
        <v>15.6</v>
      </c>
      <c r="CB7" s="60">
        <v>14.34</v>
      </c>
      <c r="CC7" s="60">
        <v>7.02</v>
      </c>
      <c r="CD7" s="65">
        <f t="shared" si="11"/>
        <v>83.770883054892593</v>
      </c>
      <c r="CE7" s="60">
        <v>0</v>
      </c>
      <c r="CF7" s="79">
        <f t="shared" si="12"/>
        <v>90.967699999999994</v>
      </c>
      <c r="CG7" s="71">
        <v>7.22</v>
      </c>
      <c r="CH7" s="60">
        <v>13.1</v>
      </c>
      <c r="CI7" s="60">
        <v>11.32</v>
      </c>
      <c r="CJ7" s="60">
        <v>3.65</v>
      </c>
      <c r="CK7" s="59">
        <f t="shared" si="13"/>
        <v>50.554016620498622</v>
      </c>
      <c r="CL7" s="60">
        <v>0</v>
      </c>
      <c r="CM7" s="72">
        <f t="shared" si="14"/>
        <v>44.403700000000001</v>
      </c>
      <c r="CN7" s="81">
        <f t="shared" si="15"/>
        <v>1</v>
      </c>
      <c r="CO7" s="59">
        <f t="shared" si="16"/>
        <v>47.87856</v>
      </c>
      <c r="CP7" s="59">
        <f t="shared" si="17"/>
        <v>1</v>
      </c>
      <c r="CQ7" s="59">
        <f t="shared" si="18"/>
        <v>19.205497999999999</v>
      </c>
      <c r="CR7" s="59">
        <f>IF(AV7&gt;0,'Look Ups'!$L$3,0)</f>
        <v>1</v>
      </c>
      <c r="CS7" s="59">
        <f t="shared" si="19"/>
        <v>0</v>
      </c>
      <c r="CT7" s="59">
        <f t="shared" si="20"/>
        <v>0</v>
      </c>
      <c r="CU7" s="59">
        <f t="shared" si="21"/>
        <v>0</v>
      </c>
      <c r="CV7" s="79">
        <f t="shared" si="22"/>
        <v>0</v>
      </c>
      <c r="CW7" s="82" t="str">
        <f t="shared" si="23"/>
        <v>valid</v>
      </c>
      <c r="CX7" s="65" t="str">
        <f t="shared" si="24"/>
        <v>valid</v>
      </c>
      <c r="CY7" s="66" t="str">
        <f t="shared" si="25"/>
        <v>MGScrSp</v>
      </c>
      <c r="CZ7" s="81">
        <f t="shared" si="26"/>
        <v>67.084057999999999</v>
      </c>
      <c r="DA7" s="59">
        <f t="shared" si="27"/>
        <v>21.528660599999998</v>
      </c>
      <c r="DB7" s="59">
        <f t="shared" si="28"/>
        <v>8.8193707000000003</v>
      </c>
      <c r="DC7" s="59">
        <f t="shared" si="29"/>
        <v>21.169849589999998</v>
      </c>
      <c r="DD7" s="59">
        <f t="shared" si="30"/>
        <v>1.38590111</v>
      </c>
      <c r="DE7" s="79">
        <f t="shared" si="31"/>
        <v>70.180748695999995</v>
      </c>
      <c r="DF7" s="83">
        <f t="shared" si="32"/>
        <v>89.639808700000003</v>
      </c>
      <c r="DG7" s="412"/>
    </row>
    <row r="8" spans="2:255" ht="16.5" customHeight="1" x14ac:dyDescent="0.25">
      <c r="B8" s="418"/>
      <c r="C8" s="414" t="s">
        <v>1060</v>
      </c>
      <c r="D8" s="48" t="s">
        <v>521</v>
      </c>
      <c r="E8" s="49" t="s">
        <v>1066</v>
      </c>
      <c r="F8" s="415">
        <f t="shared" si="0"/>
        <v>1.2139763212615384</v>
      </c>
      <c r="G8" s="415" t="str">
        <f t="shared" ca="1" si="1"/>
        <v>Yes</v>
      </c>
      <c r="H8" s="51" t="str">
        <f t="shared" si="2"/>
        <v>Main - Genoa - Screacher</v>
      </c>
      <c r="I8" s="52">
        <v>44781</v>
      </c>
      <c r="J8" s="52">
        <v>44792</v>
      </c>
      <c r="K8" s="53" t="s">
        <v>1097</v>
      </c>
      <c r="L8" s="53" t="s">
        <v>614</v>
      </c>
      <c r="M8" s="54"/>
      <c r="N8" s="55" t="s">
        <v>149</v>
      </c>
      <c r="O8" s="55"/>
      <c r="P8" s="56"/>
      <c r="Q8" s="57">
        <v>11.9</v>
      </c>
      <c r="R8" s="58"/>
      <c r="S8" s="59">
        <f t="shared" si="3"/>
        <v>0.29750000000000004</v>
      </c>
      <c r="T8" s="60"/>
      <c r="U8" s="60"/>
      <c r="V8" s="61">
        <v>11.9</v>
      </c>
      <c r="W8" s="62">
        <f>IF(RL&gt;0,IF(RL&gt;'Look Ups'!R$7,'Look Ups'!R$8,('Look Ups'!R$3*RL^3+'Look Ups'!R$4*RL^2+'Look Ups'!R$5*RL+'Look Ups'!R$6)),0)</f>
        <v>0.29990624700000001</v>
      </c>
      <c r="X8" s="63">
        <v>1570</v>
      </c>
      <c r="Y8" s="64"/>
      <c r="Z8" s="64"/>
      <c r="AA8" s="64"/>
      <c r="AB8" s="65">
        <f t="shared" si="4"/>
        <v>1570</v>
      </c>
      <c r="AC8" s="66">
        <f t="shared" si="5"/>
        <v>1570</v>
      </c>
      <c r="AD8" s="67" t="s">
        <v>129</v>
      </c>
      <c r="AE8" s="68" t="s">
        <v>130</v>
      </c>
      <c r="AF8" s="69" t="s">
        <v>131</v>
      </c>
      <c r="AG8" s="70">
        <f>IF(C8="",0,VLOOKUP(AD8,'Look Ups'!$B$3:$C$6,2,0)*VLOOKUP(AE8,'Look Ups'!$E$3:$F$5,2,0)*VLOOKUP(AF8,'Look Ups'!$H$3:$I$7,2,0))</f>
        <v>1</v>
      </c>
      <c r="AH8" s="71">
        <v>17.64</v>
      </c>
      <c r="AI8" s="60">
        <v>17.38</v>
      </c>
      <c r="AJ8" s="60">
        <v>4.92</v>
      </c>
      <c r="AK8" s="60">
        <v>2.04</v>
      </c>
      <c r="AL8" s="60">
        <v>0.25</v>
      </c>
      <c r="AM8" s="60">
        <v>17.61</v>
      </c>
      <c r="AN8" s="60">
        <v>0.22</v>
      </c>
      <c r="AO8" s="60">
        <v>5</v>
      </c>
      <c r="AP8" s="60">
        <v>0.05</v>
      </c>
      <c r="AQ8" s="60">
        <v>0.77</v>
      </c>
      <c r="AR8" s="60" t="s">
        <v>132</v>
      </c>
      <c r="AS8" s="75"/>
      <c r="AT8" s="59">
        <f t="shared" si="6"/>
        <v>17.66</v>
      </c>
      <c r="AU8" s="59">
        <f t="shared" si="7"/>
        <v>5.0848874999999998</v>
      </c>
      <c r="AV8" s="72">
        <f>IF(C8="",0,(0.5*(_ML1*LPM)+0.5*(_ML1*HB)+0.66*(P*PR)+0.66*(_ML2*RDM)+0.66*(E*ER))*VLOOKUP(BATT,'Look Ups'!$N$3:$O$4,2,0))</f>
        <v>66.976872000000014</v>
      </c>
      <c r="AW8" s="73"/>
      <c r="AX8" s="74"/>
      <c r="AY8" s="71">
        <v>13.22</v>
      </c>
      <c r="AZ8" s="60">
        <v>3.37</v>
      </c>
      <c r="BA8" s="60">
        <v>3.49</v>
      </c>
      <c r="BB8" s="60">
        <v>0.12</v>
      </c>
      <c r="BC8" s="60">
        <v>12.68</v>
      </c>
      <c r="BD8" s="60">
        <v>12.11</v>
      </c>
      <c r="BE8" s="60">
        <v>0.39</v>
      </c>
      <c r="BF8" s="60">
        <v>-0.14000000000000001</v>
      </c>
      <c r="BG8" s="60">
        <v>-0.03</v>
      </c>
      <c r="BH8" s="75"/>
      <c r="BI8" s="72">
        <f t="shared" si="8"/>
        <v>23.643988</v>
      </c>
      <c r="BJ8" s="76"/>
      <c r="BK8" s="77"/>
      <c r="BL8" s="78"/>
      <c r="BM8" s="78"/>
      <c r="BN8" s="77"/>
      <c r="BO8" s="78"/>
      <c r="BP8" s="78"/>
      <c r="BQ8" s="79">
        <f t="shared" si="9"/>
        <v>0</v>
      </c>
      <c r="BR8" s="80"/>
      <c r="BS8" s="77"/>
      <c r="BT8" s="77"/>
      <c r="BU8" s="77"/>
      <c r="BV8" s="77"/>
      <c r="BW8" s="77"/>
      <c r="BX8" s="77"/>
      <c r="BY8" s="72">
        <f t="shared" si="10"/>
        <v>0</v>
      </c>
      <c r="BZ8" s="73"/>
      <c r="CA8" s="60"/>
      <c r="CB8" s="60"/>
      <c r="CC8" s="60"/>
      <c r="CD8" s="65" t="str">
        <f t="shared" si="11"/>
        <v/>
      </c>
      <c r="CE8" s="60"/>
      <c r="CF8" s="79">
        <f t="shared" si="12"/>
        <v>0</v>
      </c>
      <c r="CG8" s="71">
        <v>9.81</v>
      </c>
      <c r="CH8" s="60">
        <v>17.96</v>
      </c>
      <c r="CI8" s="60">
        <v>14.08</v>
      </c>
      <c r="CJ8" s="60">
        <v>6.29</v>
      </c>
      <c r="CK8" s="59">
        <f t="shared" si="13"/>
        <v>64.118246687054025</v>
      </c>
      <c r="CL8" s="60"/>
      <c r="CM8" s="72">
        <f t="shared" si="14"/>
        <v>93.369900000000001</v>
      </c>
      <c r="CN8" s="81">
        <f t="shared" si="15"/>
        <v>1</v>
      </c>
      <c r="CO8" s="59">
        <f t="shared" si="16"/>
        <v>72.061759500000008</v>
      </c>
      <c r="CP8" s="59">
        <f t="shared" si="17"/>
        <v>1</v>
      </c>
      <c r="CQ8" s="59">
        <f t="shared" si="18"/>
        <v>23.643988</v>
      </c>
      <c r="CR8" s="59">
        <f>IF(AV8&gt;0,'Look Ups'!$L$3,0)</f>
        <v>1</v>
      </c>
      <c r="CS8" s="59">
        <f t="shared" si="19"/>
        <v>0</v>
      </c>
      <c r="CT8" s="59">
        <f t="shared" si="20"/>
        <v>0</v>
      </c>
      <c r="CU8" s="59">
        <f t="shared" si="21"/>
        <v>0</v>
      </c>
      <c r="CV8" s="79">
        <f t="shared" si="22"/>
        <v>0</v>
      </c>
      <c r="CW8" s="82" t="str">
        <f t="shared" si="23"/>
        <v>valid</v>
      </c>
      <c r="CX8" s="65" t="str">
        <f t="shared" si="24"/>
        <v>-</v>
      </c>
      <c r="CY8" s="66" t="str">
        <f t="shared" si="25"/>
        <v>MGScr</v>
      </c>
      <c r="CZ8" s="81">
        <f t="shared" si="26"/>
        <v>95.705747500000001</v>
      </c>
      <c r="DA8" s="59">
        <f t="shared" si="27"/>
        <v>0</v>
      </c>
      <c r="DB8" s="59">
        <f t="shared" si="28"/>
        <v>24.404069199999995</v>
      </c>
      <c r="DC8" s="59">
        <f t="shared" si="29"/>
        <v>0</v>
      </c>
      <c r="DD8" s="59">
        <f t="shared" si="30"/>
        <v>3.8349251599999996</v>
      </c>
      <c r="DE8" s="79">
        <f t="shared" si="31"/>
        <v>100.934866822</v>
      </c>
      <c r="DF8" s="83">
        <f t="shared" si="32"/>
        <v>120.1098167</v>
      </c>
      <c r="DG8" s="412"/>
    </row>
    <row r="9" spans="2:255" ht="16.5" customHeight="1" x14ac:dyDescent="0.25">
      <c r="B9" s="413"/>
      <c r="C9" s="414" t="s">
        <v>145</v>
      </c>
      <c r="D9" s="84" t="s">
        <v>146</v>
      </c>
      <c r="E9" s="49" t="s">
        <v>894</v>
      </c>
      <c r="F9" s="415">
        <f t="shared" si="0"/>
        <v>0.83893575458632508</v>
      </c>
      <c r="G9" s="415" t="str">
        <f t="shared" ca="1" si="1"/>
        <v>No</v>
      </c>
      <c r="H9" s="51" t="str">
        <f t="shared" si="2"/>
        <v>Main - Genoa - Screacher - Spinnaker</v>
      </c>
      <c r="I9" s="52">
        <v>40493</v>
      </c>
      <c r="J9" s="52">
        <v>42781</v>
      </c>
      <c r="K9" s="53" t="s">
        <v>147</v>
      </c>
      <c r="L9" s="53" t="s">
        <v>148</v>
      </c>
      <c r="M9" s="54" t="s">
        <v>1051</v>
      </c>
      <c r="N9" s="75" t="s">
        <v>149</v>
      </c>
      <c r="O9" s="75"/>
      <c r="P9" s="85">
        <v>6.2</v>
      </c>
      <c r="Q9" s="57">
        <v>11.21</v>
      </c>
      <c r="R9" s="58"/>
      <c r="S9" s="59">
        <f t="shared" si="3"/>
        <v>0.28025000000000005</v>
      </c>
      <c r="T9" s="60">
        <v>7.0000000000000007E-2</v>
      </c>
      <c r="U9" s="60">
        <v>0</v>
      </c>
      <c r="V9" s="61">
        <f>IF((LOAA&gt;LOA),LOAA,LOA-FOC-AOC)</f>
        <v>11.14</v>
      </c>
      <c r="W9" s="62">
        <f>IF(RL&gt;0,IF(RL&gt;'Look Ups'!R$7,'Look Ups'!R$8,('Look Ups'!R$3*RL^3+'Look Ups'!R$4*RL^2+'Look Ups'!R$5*RL+'Look Ups'!R$6)),0)</f>
        <v>0.29961205495200005</v>
      </c>
      <c r="X9" s="63">
        <v>3585</v>
      </c>
      <c r="Y9" s="64"/>
      <c r="Z9" s="64"/>
      <c r="AA9" s="64"/>
      <c r="AB9" s="65">
        <f t="shared" si="4"/>
        <v>3585</v>
      </c>
      <c r="AC9" s="66">
        <f t="shared" si="5"/>
        <v>3585</v>
      </c>
      <c r="AD9" s="67" t="s">
        <v>129</v>
      </c>
      <c r="AE9" s="68" t="s">
        <v>130</v>
      </c>
      <c r="AF9" s="69" t="s">
        <v>131</v>
      </c>
      <c r="AG9" s="70">
        <f>IF(C9="",0,VLOOKUP(AD9,'Look Ups'!$B$3:$C$6,2,0)*VLOOKUP(AE9,'Look Ups'!$E$3:$F$5,2,0)*VLOOKUP(AF9,'Look Ups'!$H$3:$I$7,2,0))</f>
        <v>1</v>
      </c>
      <c r="AH9" s="71">
        <v>13.03</v>
      </c>
      <c r="AI9" s="60">
        <v>12.68</v>
      </c>
      <c r="AJ9" s="60">
        <v>4.95</v>
      </c>
      <c r="AK9" s="60">
        <v>1.89</v>
      </c>
      <c r="AL9" s="60">
        <v>0.24</v>
      </c>
      <c r="AM9" s="60">
        <v>12.38</v>
      </c>
      <c r="AN9" s="60">
        <v>0.41599999999999998</v>
      </c>
      <c r="AO9" s="60">
        <v>4.3899999999999997</v>
      </c>
      <c r="AP9" s="60">
        <v>6.7000000000000004E-2</v>
      </c>
      <c r="AQ9" s="60">
        <v>0</v>
      </c>
      <c r="AR9" s="60" t="s">
        <v>132</v>
      </c>
      <c r="AS9" s="75" t="s">
        <v>150</v>
      </c>
      <c r="AT9" s="59">
        <f t="shared" si="6"/>
        <v>12.447000000000001</v>
      </c>
      <c r="AU9" s="59">
        <f t="shared" si="7"/>
        <v>0</v>
      </c>
      <c r="AV9" s="72">
        <f>IF(C9="",0,(0.5*(_ML1*LPM)+0.5*(_ML1*HB)+0.66*(P*PR)+0.66*(_ML2*RDM)+0.66*(E*ER))*VLOOKUP(BATT,'Look Ups'!$N$3:$O$4,2,0))</f>
        <v>50.164290600000001</v>
      </c>
      <c r="AW9" s="73"/>
      <c r="AX9" s="74"/>
      <c r="AY9" s="71">
        <v>12.25</v>
      </c>
      <c r="AZ9" s="60">
        <v>4.18</v>
      </c>
      <c r="BA9" s="60">
        <v>4.72</v>
      </c>
      <c r="BB9" s="60">
        <v>0.05</v>
      </c>
      <c r="BC9" s="60">
        <v>10.76</v>
      </c>
      <c r="BD9" s="60"/>
      <c r="BE9" s="60"/>
      <c r="BF9" s="60">
        <v>-0.26</v>
      </c>
      <c r="BG9" s="60">
        <v>0.08</v>
      </c>
      <c r="BH9" s="75" t="s">
        <v>150</v>
      </c>
      <c r="BI9" s="72">
        <f t="shared" si="8"/>
        <v>24.558643999999997</v>
      </c>
      <c r="BJ9" s="76"/>
      <c r="BK9" s="77"/>
      <c r="BL9" s="78"/>
      <c r="BM9" s="78"/>
      <c r="BN9" s="77"/>
      <c r="BO9" s="78"/>
      <c r="BP9" s="78"/>
      <c r="BQ9" s="79">
        <f t="shared" si="9"/>
        <v>0</v>
      </c>
      <c r="BR9" s="80"/>
      <c r="BS9" s="77"/>
      <c r="BT9" s="77"/>
      <c r="BU9" s="77"/>
      <c r="BV9" s="77"/>
      <c r="BW9" s="77"/>
      <c r="BX9" s="77"/>
      <c r="BY9" s="72">
        <f t="shared" si="10"/>
        <v>0</v>
      </c>
      <c r="BZ9" s="73">
        <v>8.9</v>
      </c>
      <c r="CA9" s="60">
        <v>14.29</v>
      </c>
      <c r="CB9" s="60">
        <v>12.695</v>
      </c>
      <c r="CC9" s="60">
        <v>9</v>
      </c>
      <c r="CD9" s="65">
        <f t="shared" si="11"/>
        <v>101.12359550561798</v>
      </c>
      <c r="CE9" s="75">
        <v>0</v>
      </c>
      <c r="CF9" s="79">
        <f t="shared" si="12"/>
        <v>100.968875</v>
      </c>
      <c r="CG9" s="71">
        <v>6.92</v>
      </c>
      <c r="CH9" s="60">
        <v>13.44</v>
      </c>
      <c r="CI9" s="60">
        <v>10.11</v>
      </c>
      <c r="CJ9" s="60">
        <v>3.5019999999999998</v>
      </c>
      <c r="CK9" s="59">
        <f t="shared" si="13"/>
        <v>50.606936416184965</v>
      </c>
      <c r="CL9" s="75">
        <v>0</v>
      </c>
      <c r="CM9" s="72">
        <f t="shared" si="14"/>
        <v>41.07119999999999</v>
      </c>
      <c r="CN9" s="81">
        <f t="shared" si="15"/>
        <v>1</v>
      </c>
      <c r="CO9" s="59">
        <f t="shared" si="16"/>
        <v>50.164290600000001</v>
      </c>
      <c r="CP9" s="59">
        <f t="shared" si="17"/>
        <v>1</v>
      </c>
      <c r="CQ9" s="59">
        <f t="shared" si="18"/>
        <v>24.558643999999997</v>
      </c>
      <c r="CR9" s="59">
        <f>IF(AV9&gt;0,'Look Ups'!$L$3,0)</f>
        <v>1</v>
      </c>
      <c r="CS9" s="59">
        <f t="shared" si="19"/>
        <v>0</v>
      </c>
      <c r="CT9" s="59">
        <f t="shared" si="20"/>
        <v>0</v>
      </c>
      <c r="CU9" s="59">
        <f t="shared" si="21"/>
        <v>0</v>
      </c>
      <c r="CV9" s="79">
        <f t="shared" si="22"/>
        <v>0</v>
      </c>
      <c r="CW9" s="82" t="str">
        <f t="shared" si="23"/>
        <v>valid</v>
      </c>
      <c r="CX9" s="65" t="str">
        <f t="shared" si="24"/>
        <v>valid</v>
      </c>
      <c r="CY9" s="66" t="str">
        <f t="shared" si="25"/>
        <v>MGScrSp</v>
      </c>
      <c r="CZ9" s="81">
        <f t="shared" si="26"/>
        <v>74.722934600000002</v>
      </c>
      <c r="DA9" s="59">
        <f t="shared" si="27"/>
        <v>22.923069299999998</v>
      </c>
      <c r="DB9" s="59">
        <f t="shared" si="28"/>
        <v>5.7793945999999972</v>
      </c>
      <c r="DC9" s="59">
        <f t="shared" si="29"/>
        <v>22.541018144999999</v>
      </c>
      <c r="DD9" s="59">
        <f t="shared" si="30"/>
        <v>0.90819057999999964</v>
      </c>
      <c r="DE9" s="79">
        <f t="shared" si="31"/>
        <v>77.488344432800005</v>
      </c>
      <c r="DF9" s="83">
        <f t="shared" si="32"/>
        <v>98.172143324999993</v>
      </c>
      <c r="DG9" s="412"/>
    </row>
    <row r="10" spans="2:255" ht="16.5" customHeight="1" x14ac:dyDescent="0.25">
      <c r="B10" s="418"/>
      <c r="C10" s="414" t="s">
        <v>850</v>
      </c>
      <c r="D10" s="84" t="s">
        <v>158</v>
      </c>
      <c r="E10" s="49" t="s">
        <v>159</v>
      </c>
      <c r="F10" s="415">
        <f t="shared" si="0"/>
        <v>0.84435198646515763</v>
      </c>
      <c r="G10" s="415" t="str">
        <f t="shared" ca="1" si="1"/>
        <v>Yes</v>
      </c>
      <c r="H10" s="51" t="str">
        <f t="shared" si="2"/>
        <v>Main - Genoa - Screacher - Spinnaker</v>
      </c>
      <c r="I10" s="52">
        <v>44004</v>
      </c>
      <c r="J10" s="52">
        <v>44004</v>
      </c>
      <c r="K10" s="53" t="s">
        <v>1029</v>
      </c>
      <c r="L10" s="53" t="s">
        <v>299</v>
      </c>
      <c r="M10" s="54"/>
      <c r="N10" s="75" t="s">
        <v>149</v>
      </c>
      <c r="O10" s="75"/>
      <c r="P10" s="85">
        <v>7.5</v>
      </c>
      <c r="Q10" s="57">
        <v>16.25</v>
      </c>
      <c r="R10" s="58"/>
      <c r="S10" s="59">
        <f t="shared" si="3"/>
        <v>0.40625</v>
      </c>
      <c r="T10" s="60"/>
      <c r="U10" s="60"/>
      <c r="V10" s="61">
        <f>IF((LOAA&gt;LOA),LOAA,LOA-FOC-AOC)</f>
        <v>16.25</v>
      </c>
      <c r="W10" s="62">
        <f>IF(RL&gt;0,IF(RL&gt;'Look Ups'!R$7,'Look Ups'!R$8,('Look Ups'!R$3*RL^3+'Look Ups'!R$4*RL^2+'Look Ups'!R$5*RL+'Look Ups'!R$6)),0)</f>
        <v>0.3</v>
      </c>
      <c r="X10" s="63">
        <v>9827</v>
      </c>
      <c r="Y10" s="64"/>
      <c r="Z10" s="64"/>
      <c r="AA10" s="64"/>
      <c r="AB10" s="65">
        <f t="shared" si="4"/>
        <v>9827</v>
      </c>
      <c r="AC10" s="66">
        <f t="shared" si="5"/>
        <v>9827</v>
      </c>
      <c r="AD10" s="67" t="s">
        <v>129</v>
      </c>
      <c r="AE10" s="68" t="s">
        <v>130</v>
      </c>
      <c r="AF10" s="69" t="s">
        <v>161</v>
      </c>
      <c r="AG10" s="70">
        <f>IF(C10="",0,VLOOKUP(AD10,'Look Ups'!$B$3:$C$6,2,0)*VLOOKUP(AE10,'Look Ups'!$E$3:$F$5,2,0)*VLOOKUP(AF10,'Look Ups'!$H$3:$I$7,2,0))</f>
        <v>0.99</v>
      </c>
      <c r="AH10" s="71">
        <v>18.88</v>
      </c>
      <c r="AI10" s="60">
        <v>18.75</v>
      </c>
      <c r="AJ10" s="60">
        <v>5.36</v>
      </c>
      <c r="AK10" s="60">
        <v>2.2599999999999998</v>
      </c>
      <c r="AL10" s="60">
        <v>0.57999999999999996</v>
      </c>
      <c r="AM10" s="60">
        <v>18.71</v>
      </c>
      <c r="AN10" s="60">
        <v>0.15</v>
      </c>
      <c r="AO10" s="60">
        <v>5.45</v>
      </c>
      <c r="AP10" s="60">
        <v>0.06</v>
      </c>
      <c r="AQ10" s="60"/>
      <c r="AR10" s="60" t="s">
        <v>132</v>
      </c>
      <c r="AS10" s="75" t="s">
        <v>162</v>
      </c>
      <c r="AT10" s="59">
        <f t="shared" si="6"/>
        <v>18.77</v>
      </c>
      <c r="AU10" s="59">
        <f t="shared" si="7"/>
        <v>0</v>
      </c>
      <c r="AV10" s="72">
        <f>IF(C10="",0,(0.5*(_ML1*LPM)+0.5*(_ML1*HB)+0.66*(P*PR)+0.66*(_ML2*RDM)+0.66*(E*ER))*VLOOKUP(BATT,'Look Ups'!$N$3:$O$4,2,0))</f>
        <v>81.178409999999971</v>
      </c>
      <c r="AW10" s="73"/>
      <c r="AX10" s="74"/>
      <c r="AY10" s="71">
        <v>17.72</v>
      </c>
      <c r="AZ10" s="60">
        <v>6.3</v>
      </c>
      <c r="BA10" s="60">
        <v>6.8</v>
      </c>
      <c r="BB10" s="60">
        <v>0.25</v>
      </c>
      <c r="BC10" s="60">
        <v>16.13</v>
      </c>
      <c r="BD10" s="60"/>
      <c r="BE10" s="60"/>
      <c r="BF10" s="60">
        <v>0.13</v>
      </c>
      <c r="BG10" s="60">
        <v>0</v>
      </c>
      <c r="BH10" s="75"/>
      <c r="BI10" s="72">
        <f t="shared" si="8"/>
        <v>58.323954000000001</v>
      </c>
      <c r="BJ10" s="76"/>
      <c r="BK10" s="77"/>
      <c r="BL10" s="78"/>
      <c r="BM10" s="78"/>
      <c r="BN10" s="77"/>
      <c r="BO10" s="78"/>
      <c r="BP10" s="78"/>
      <c r="BQ10" s="79">
        <f t="shared" si="9"/>
        <v>0</v>
      </c>
      <c r="BR10" s="80"/>
      <c r="BS10" s="77"/>
      <c r="BT10" s="77"/>
      <c r="BU10" s="77"/>
      <c r="BV10" s="77"/>
      <c r="BW10" s="77"/>
      <c r="BX10" s="77"/>
      <c r="BY10" s="72">
        <f t="shared" si="10"/>
        <v>0</v>
      </c>
      <c r="BZ10" s="73">
        <v>12.24</v>
      </c>
      <c r="CA10" s="60">
        <v>20.05</v>
      </c>
      <c r="CB10" s="60">
        <v>18</v>
      </c>
      <c r="CC10" s="60">
        <v>10.53</v>
      </c>
      <c r="CD10" s="65">
        <f t="shared" si="11"/>
        <v>86.02941176470587</v>
      </c>
      <c r="CE10" s="75"/>
      <c r="CF10" s="79">
        <f t="shared" si="12"/>
        <v>172.36649999999997</v>
      </c>
      <c r="CG10" s="71">
        <v>8.9700000000000006</v>
      </c>
      <c r="CH10" s="60">
        <v>19.05</v>
      </c>
      <c r="CI10" s="60">
        <v>16.649999999999999</v>
      </c>
      <c r="CJ10" s="60">
        <v>4.68</v>
      </c>
      <c r="CK10" s="59">
        <f t="shared" si="13"/>
        <v>52.173913043478258</v>
      </c>
      <c r="CL10" s="75"/>
      <c r="CM10" s="72">
        <f t="shared" si="14"/>
        <v>82.377750000000006</v>
      </c>
      <c r="CN10" s="81">
        <f t="shared" si="15"/>
        <v>1</v>
      </c>
      <c r="CO10" s="59">
        <f t="shared" si="16"/>
        <v>81.178409999999971</v>
      </c>
      <c r="CP10" s="59">
        <f t="shared" si="17"/>
        <v>1</v>
      </c>
      <c r="CQ10" s="59">
        <f t="shared" si="18"/>
        <v>58.323954000000001</v>
      </c>
      <c r="CR10" s="59">
        <f>IF(AV10&gt;0,'Look Ups'!$L$3,0)</f>
        <v>1</v>
      </c>
      <c r="CS10" s="59">
        <f t="shared" si="19"/>
        <v>0</v>
      </c>
      <c r="CT10" s="59">
        <f t="shared" si="20"/>
        <v>0</v>
      </c>
      <c r="CU10" s="59">
        <f t="shared" si="21"/>
        <v>0</v>
      </c>
      <c r="CV10" s="79">
        <f t="shared" si="22"/>
        <v>0</v>
      </c>
      <c r="CW10" s="82" t="str">
        <f t="shared" si="23"/>
        <v>valid</v>
      </c>
      <c r="CX10" s="65" t="str">
        <f t="shared" si="24"/>
        <v>valid</v>
      </c>
      <c r="CY10" s="66" t="str">
        <f t="shared" si="25"/>
        <v>MGScrSp</v>
      </c>
      <c r="CZ10" s="81">
        <f t="shared" si="26"/>
        <v>139.50236399999997</v>
      </c>
      <c r="DA10" s="59">
        <f t="shared" si="27"/>
        <v>34.212763799999991</v>
      </c>
      <c r="DB10" s="59">
        <f t="shared" si="28"/>
        <v>8.4188286000000012</v>
      </c>
      <c r="DC10" s="59">
        <f t="shared" si="29"/>
        <v>33.642551069999989</v>
      </c>
      <c r="DD10" s="59">
        <f t="shared" si="30"/>
        <v>1.3229587800000002</v>
      </c>
      <c r="DE10" s="79">
        <f t="shared" si="31"/>
        <v>141.97064524799998</v>
      </c>
      <c r="DF10" s="83">
        <f t="shared" si="32"/>
        <v>174.46787384999996</v>
      </c>
      <c r="DG10" s="412"/>
    </row>
    <row r="11" spans="2:255" ht="19.5" customHeight="1" x14ac:dyDescent="0.25">
      <c r="B11" s="414"/>
      <c r="C11" s="418" t="s">
        <v>559</v>
      </c>
      <c r="D11" s="169" t="s">
        <v>560</v>
      </c>
      <c r="E11" s="170" t="s">
        <v>952</v>
      </c>
      <c r="F11" s="415">
        <f t="shared" si="0"/>
        <v>0.80777724257733075</v>
      </c>
      <c r="G11" s="415" t="str">
        <f t="shared" ca="1" si="1"/>
        <v>Yes</v>
      </c>
      <c r="H11" s="51" t="str">
        <f t="shared" si="2"/>
        <v>Main - Genoa - Screacher - Spinnaker</v>
      </c>
      <c r="I11" s="171">
        <v>43186</v>
      </c>
      <c r="J11" s="171">
        <v>43683</v>
      </c>
      <c r="K11" s="172" t="s">
        <v>187</v>
      </c>
      <c r="L11" s="172" t="s">
        <v>841</v>
      </c>
      <c r="M11" s="171"/>
      <c r="N11" s="173" t="s">
        <v>149</v>
      </c>
      <c r="O11" s="173"/>
      <c r="P11" s="186"/>
      <c r="Q11" s="175">
        <v>15.5</v>
      </c>
      <c r="R11" s="78"/>
      <c r="S11" s="59">
        <f t="shared" si="3"/>
        <v>0.38750000000000001</v>
      </c>
      <c r="T11" s="176">
        <v>0.08</v>
      </c>
      <c r="U11" s="176">
        <v>0</v>
      </c>
      <c r="V11" s="61">
        <f>IF((LOAA&gt;LOA),LOAA,LOA-FOC-AOC)</f>
        <v>15.42</v>
      </c>
      <c r="W11" s="62">
        <f>IF(RL&gt;0,IF(RL&gt;'Look Ups'!R$7,'Look Ups'!R$8,('Look Ups'!R$3*RL^3+'Look Ups'!R$4*RL^2+'Look Ups'!R$5*RL+'Look Ups'!R$6)),0)</f>
        <v>0.3</v>
      </c>
      <c r="X11" s="177">
        <v>12983</v>
      </c>
      <c r="Y11" s="178"/>
      <c r="Z11" s="178"/>
      <c r="AA11" s="178"/>
      <c r="AB11" s="65">
        <f t="shared" si="4"/>
        <v>12983</v>
      </c>
      <c r="AC11" s="66">
        <f t="shared" si="5"/>
        <v>12983</v>
      </c>
      <c r="AD11" s="179" t="s">
        <v>129</v>
      </c>
      <c r="AE11" s="180" t="s">
        <v>130</v>
      </c>
      <c r="AF11" s="181" t="s">
        <v>161</v>
      </c>
      <c r="AG11" s="70">
        <f>IF(C11="",0,VLOOKUP(AD11,'Look Ups'!$B$3:$C$6,2,0)*VLOOKUP(AE11,'Look Ups'!$E$3:$F$5,2,0)*VLOOKUP(AF11,'Look Ups'!$H$3:$I$7,2,0))</f>
        <v>0.99</v>
      </c>
      <c r="AH11" s="80">
        <v>20.3</v>
      </c>
      <c r="AI11" s="77">
        <v>19.850000000000001</v>
      </c>
      <c r="AJ11" s="77">
        <v>6.41</v>
      </c>
      <c r="AK11" s="77">
        <v>1.87</v>
      </c>
      <c r="AL11" s="77">
        <v>0.78</v>
      </c>
      <c r="AM11" s="77">
        <v>19.600000000000001</v>
      </c>
      <c r="AN11" s="77">
        <v>0.28000000000000003</v>
      </c>
      <c r="AO11" s="77">
        <v>6.68</v>
      </c>
      <c r="AP11" s="77">
        <v>0.06</v>
      </c>
      <c r="AQ11" s="77"/>
      <c r="AR11" s="77" t="s">
        <v>132</v>
      </c>
      <c r="AS11" s="87">
        <v>0</v>
      </c>
      <c r="AT11" s="59">
        <f t="shared" si="6"/>
        <v>19.66</v>
      </c>
      <c r="AU11" s="59">
        <f t="shared" si="7"/>
        <v>0</v>
      </c>
      <c r="AV11" s="72">
        <f>IF(C11="",0,(0.5*(_ML1*LPM)+0.5*(_ML1*HB)+0.66*(P*PR)+0.66*(_ML2*RDM)+0.66*(E*ER))*VLOOKUP(BATT,'Look Ups'!$N$3:$O$4,2,0))</f>
        <v>98.147388000000021</v>
      </c>
      <c r="AW11" s="182"/>
      <c r="AX11" s="183"/>
      <c r="AY11" s="80">
        <v>17.420000000000002</v>
      </c>
      <c r="AZ11" s="77">
        <v>4.55</v>
      </c>
      <c r="BA11" s="77">
        <v>4.7699999999999996</v>
      </c>
      <c r="BB11" s="77">
        <v>0.17</v>
      </c>
      <c r="BC11" s="77">
        <v>16.3</v>
      </c>
      <c r="BD11" s="77"/>
      <c r="BE11" s="77"/>
      <c r="BF11" s="77">
        <v>-0.16</v>
      </c>
      <c r="BG11" s="77">
        <v>0.13</v>
      </c>
      <c r="BH11" s="87"/>
      <c r="BI11" s="72">
        <f t="shared" si="8"/>
        <v>39.939050000000002</v>
      </c>
      <c r="BJ11" s="76"/>
      <c r="BK11" s="77"/>
      <c r="BL11" s="78"/>
      <c r="BM11" s="78"/>
      <c r="BN11" s="77"/>
      <c r="BO11" s="78"/>
      <c r="BP11" s="78"/>
      <c r="BQ11" s="79">
        <f t="shared" si="9"/>
        <v>0</v>
      </c>
      <c r="BR11" s="80"/>
      <c r="BS11" s="77"/>
      <c r="BT11" s="77"/>
      <c r="BU11" s="77"/>
      <c r="BV11" s="77"/>
      <c r="BW11" s="77"/>
      <c r="BX11" s="77"/>
      <c r="BY11" s="72">
        <f t="shared" si="10"/>
        <v>0</v>
      </c>
      <c r="BZ11" s="182">
        <v>14.2</v>
      </c>
      <c r="CA11" s="77">
        <v>24.63</v>
      </c>
      <c r="CB11" s="77">
        <v>21.9</v>
      </c>
      <c r="CC11" s="77">
        <v>12.6</v>
      </c>
      <c r="CD11" s="65">
        <f t="shared" si="11"/>
        <v>88.732394366197184</v>
      </c>
      <c r="CE11" s="77">
        <v>0</v>
      </c>
      <c r="CF11" s="79">
        <f t="shared" si="12"/>
        <v>250.48650000000001</v>
      </c>
      <c r="CG11" s="80">
        <v>11.01</v>
      </c>
      <c r="CH11" s="77">
        <v>18.53</v>
      </c>
      <c r="CI11" s="77">
        <v>16.22</v>
      </c>
      <c r="CJ11" s="77">
        <v>6.19</v>
      </c>
      <c r="CK11" s="59">
        <f t="shared" si="13"/>
        <v>56.221616712079935</v>
      </c>
      <c r="CL11" s="77">
        <v>0</v>
      </c>
      <c r="CM11" s="72">
        <f t="shared" si="14"/>
        <v>103.58395833333333</v>
      </c>
      <c r="CN11" s="81">
        <f t="shared" si="15"/>
        <v>1</v>
      </c>
      <c r="CO11" s="59">
        <f t="shared" si="16"/>
        <v>98.147388000000021</v>
      </c>
      <c r="CP11" s="59">
        <f t="shared" si="17"/>
        <v>1</v>
      </c>
      <c r="CQ11" s="59">
        <f t="shared" si="18"/>
        <v>39.939050000000002</v>
      </c>
      <c r="CR11" s="59">
        <f>IF(AV11&gt;0,'Look Ups'!$L$3,0)</f>
        <v>1</v>
      </c>
      <c r="CS11" s="59">
        <f t="shared" si="19"/>
        <v>0</v>
      </c>
      <c r="CT11" s="59">
        <f t="shared" si="20"/>
        <v>0</v>
      </c>
      <c r="CU11" s="59">
        <f t="shared" si="21"/>
        <v>0</v>
      </c>
      <c r="CV11" s="79">
        <f t="shared" si="22"/>
        <v>0</v>
      </c>
      <c r="CW11" s="82" t="str">
        <f t="shared" si="23"/>
        <v>valid</v>
      </c>
      <c r="CX11" s="65" t="str">
        <f t="shared" si="24"/>
        <v>valid</v>
      </c>
      <c r="CY11" s="66" t="str">
        <f t="shared" si="25"/>
        <v>MGScrSp</v>
      </c>
      <c r="CZ11" s="81">
        <f t="shared" si="26"/>
        <v>138.08643800000002</v>
      </c>
      <c r="DA11" s="59">
        <f t="shared" si="27"/>
        <v>63.164234999999998</v>
      </c>
      <c r="DB11" s="59">
        <f t="shared" si="28"/>
        <v>22.275717916666665</v>
      </c>
      <c r="DC11" s="59">
        <f t="shared" si="29"/>
        <v>62.111497749999998</v>
      </c>
      <c r="DD11" s="59">
        <f t="shared" si="30"/>
        <v>3.500469958333333</v>
      </c>
      <c r="DE11" s="79">
        <f t="shared" si="31"/>
        <v>144.37293850400002</v>
      </c>
      <c r="DF11" s="83">
        <f t="shared" si="32"/>
        <v>203.69840570833333</v>
      </c>
      <c r="DG11" s="412"/>
    </row>
    <row r="12" spans="2:255" ht="16.5" customHeight="1" x14ac:dyDescent="0.25">
      <c r="B12" s="414"/>
      <c r="C12" s="414" t="s">
        <v>940</v>
      </c>
      <c r="D12" s="48" t="s">
        <v>941</v>
      </c>
      <c r="E12" s="49" t="s">
        <v>942</v>
      </c>
      <c r="F12" s="415">
        <f t="shared" si="0"/>
        <v>0.99585401332754542</v>
      </c>
      <c r="G12" s="415" t="str">
        <f t="shared" ca="1" si="1"/>
        <v>Yes</v>
      </c>
      <c r="H12" s="51" t="str">
        <f t="shared" si="2"/>
        <v>Main - Genoa - Screacher - Spinnaker</v>
      </c>
      <c r="I12" s="52">
        <v>43310</v>
      </c>
      <c r="J12" s="52">
        <v>43314</v>
      </c>
      <c r="K12" s="53" t="s">
        <v>506</v>
      </c>
      <c r="L12" s="53" t="s">
        <v>841</v>
      </c>
      <c r="M12" s="54"/>
      <c r="N12" s="55" t="s">
        <v>127</v>
      </c>
      <c r="O12" s="55"/>
      <c r="P12" s="86">
        <v>11</v>
      </c>
      <c r="Q12" s="57">
        <v>13.85</v>
      </c>
      <c r="R12" s="58"/>
      <c r="S12" s="59">
        <f t="shared" si="3"/>
        <v>0.34625</v>
      </c>
      <c r="T12" s="60"/>
      <c r="U12" s="60">
        <v>0</v>
      </c>
      <c r="V12" s="61">
        <f>IF((LOAA&gt;LOA),LOAA,LOA-FOC-AOC)</f>
        <v>13.85</v>
      </c>
      <c r="W12" s="62">
        <f>IF(RL&gt;0,IF(RL&gt;'Look Ups'!R$7,'Look Ups'!R$8,('Look Ups'!R$3*RL^3+'Look Ups'!R$4*RL^2+'Look Ups'!R$5*RL+'Look Ups'!R$6)),0)</f>
        <v>0.3</v>
      </c>
      <c r="X12" s="63">
        <v>4097</v>
      </c>
      <c r="Y12" s="64"/>
      <c r="Z12" s="436"/>
      <c r="AA12" s="436"/>
      <c r="AB12" s="65">
        <f t="shared" si="4"/>
        <v>4097</v>
      </c>
      <c r="AC12" s="66">
        <f t="shared" si="5"/>
        <v>4097</v>
      </c>
      <c r="AD12" s="67" t="s">
        <v>129</v>
      </c>
      <c r="AE12" s="68" t="s">
        <v>130</v>
      </c>
      <c r="AF12" s="69" t="s">
        <v>300</v>
      </c>
      <c r="AG12" s="70">
        <f>IF(C12="",0,VLOOKUP(AD12,'Look Ups'!$B$3:$C$6,2,0)*VLOOKUP(AE12,'Look Ups'!$E$3:$F$5,2,0)*VLOOKUP(AF12,'Look Ups'!$H$3:$I$7,2,0))</f>
        <v>0.995</v>
      </c>
      <c r="AH12" s="71">
        <v>16.920000000000002</v>
      </c>
      <c r="AI12" s="60">
        <v>16.48</v>
      </c>
      <c r="AJ12" s="60">
        <v>5.15</v>
      </c>
      <c r="AK12" s="60">
        <v>2.25</v>
      </c>
      <c r="AL12" s="60">
        <v>0.36</v>
      </c>
      <c r="AM12" s="60">
        <v>16.97</v>
      </c>
      <c r="AN12" s="60"/>
      <c r="AO12" s="60">
        <v>5.2190000000000003</v>
      </c>
      <c r="AP12" s="60">
        <v>0.1</v>
      </c>
      <c r="AQ12" s="60">
        <v>0.8</v>
      </c>
      <c r="AR12" s="60" t="s">
        <v>132</v>
      </c>
      <c r="AS12" s="75"/>
      <c r="AT12" s="59">
        <f t="shared" si="6"/>
        <v>17.07</v>
      </c>
      <c r="AU12" s="59">
        <f t="shared" si="7"/>
        <v>5.0910000000000002</v>
      </c>
      <c r="AV12" s="72">
        <f>IF(C12="",0,(0.5*(_ML1*LPM)+0.5*(_ML1*HB)+0.66*(P*PR)+0.66*(_ML2*RDM)+0.66*(E*ER))*VLOOKUP(BATT,'Look Ups'!$N$3:$O$4,2,0))</f>
        <v>66.864102000000017</v>
      </c>
      <c r="AW12" s="73"/>
      <c r="AX12" s="74"/>
      <c r="AY12" s="71">
        <v>15.3</v>
      </c>
      <c r="AZ12" s="60">
        <v>5.0599999999999996</v>
      </c>
      <c r="BA12" s="60">
        <v>5.45</v>
      </c>
      <c r="BB12" s="60">
        <v>0.06</v>
      </c>
      <c r="BC12" s="60">
        <v>14.5</v>
      </c>
      <c r="BD12" s="60"/>
      <c r="BE12" s="60"/>
      <c r="BF12" s="60">
        <v>0</v>
      </c>
      <c r="BG12" s="60"/>
      <c r="BH12" s="58"/>
      <c r="BI12" s="72">
        <f t="shared" si="8"/>
        <v>38.924819999999997</v>
      </c>
      <c r="BJ12" s="76"/>
      <c r="BK12" s="77"/>
      <c r="BL12" s="78"/>
      <c r="BM12" s="78"/>
      <c r="BN12" s="77"/>
      <c r="BO12" s="78"/>
      <c r="BP12" s="78"/>
      <c r="BQ12" s="79">
        <f t="shared" si="9"/>
        <v>0</v>
      </c>
      <c r="BR12" s="80"/>
      <c r="BS12" s="77"/>
      <c r="BT12" s="77"/>
      <c r="BU12" s="77"/>
      <c r="BV12" s="77"/>
      <c r="BW12" s="77"/>
      <c r="BX12" s="77"/>
      <c r="BY12" s="72">
        <f t="shared" si="10"/>
        <v>0</v>
      </c>
      <c r="BZ12" s="73">
        <v>11</v>
      </c>
      <c r="CA12" s="60">
        <v>18.760000000000002</v>
      </c>
      <c r="CB12" s="60">
        <v>16.98</v>
      </c>
      <c r="CC12" s="60">
        <v>9.5</v>
      </c>
      <c r="CD12" s="65">
        <f t="shared" si="11"/>
        <v>86.36363636363636</v>
      </c>
      <c r="CE12" s="60">
        <v>0</v>
      </c>
      <c r="CF12" s="79">
        <f t="shared" si="12"/>
        <v>145.93833333333333</v>
      </c>
      <c r="CG12" s="71">
        <v>8.1</v>
      </c>
      <c r="CH12" s="60">
        <v>17.190000000000001</v>
      </c>
      <c r="CI12" s="60">
        <v>14.79</v>
      </c>
      <c r="CJ12" s="60">
        <v>4.5</v>
      </c>
      <c r="CK12" s="59">
        <f t="shared" si="13"/>
        <v>55.555555555555557</v>
      </c>
      <c r="CL12" s="60"/>
      <c r="CM12" s="72">
        <f t="shared" si="14"/>
        <v>69.5565</v>
      </c>
      <c r="CN12" s="81">
        <f t="shared" si="15"/>
        <v>1</v>
      </c>
      <c r="CO12" s="59">
        <f t="shared" si="16"/>
        <v>71.955102000000011</v>
      </c>
      <c r="CP12" s="59">
        <f t="shared" si="17"/>
        <v>1</v>
      </c>
      <c r="CQ12" s="59">
        <f t="shared" si="18"/>
        <v>38.924819999999997</v>
      </c>
      <c r="CR12" s="59">
        <f>IF(AV12&gt;0,'Look Ups'!$L$3,0)</f>
        <v>1</v>
      </c>
      <c r="CS12" s="59">
        <f t="shared" si="19"/>
        <v>0</v>
      </c>
      <c r="CT12" s="59">
        <f t="shared" si="20"/>
        <v>0</v>
      </c>
      <c r="CU12" s="59">
        <f t="shared" si="21"/>
        <v>0</v>
      </c>
      <c r="CV12" s="79">
        <f t="shared" si="22"/>
        <v>0</v>
      </c>
      <c r="CW12" s="82" t="str">
        <f t="shared" si="23"/>
        <v>valid</v>
      </c>
      <c r="CX12" s="65" t="str">
        <f t="shared" si="24"/>
        <v>valid</v>
      </c>
      <c r="CY12" s="66" t="str">
        <f t="shared" si="25"/>
        <v>MGScrSp</v>
      </c>
      <c r="CZ12" s="81">
        <f t="shared" si="26"/>
        <v>110.87992200000001</v>
      </c>
      <c r="DA12" s="59">
        <f t="shared" si="27"/>
        <v>32.104053999999998</v>
      </c>
      <c r="DB12" s="59">
        <f t="shared" si="28"/>
        <v>10.721088</v>
      </c>
      <c r="DC12" s="59">
        <f t="shared" si="29"/>
        <v>31.568986433333333</v>
      </c>
      <c r="DD12" s="59">
        <f t="shared" si="30"/>
        <v>1.6847424000000002</v>
      </c>
      <c r="DE12" s="79">
        <f t="shared" si="31"/>
        <v>114.44719245600001</v>
      </c>
      <c r="DF12" s="83">
        <f t="shared" si="32"/>
        <v>144.13365083333335</v>
      </c>
      <c r="DG12" s="412"/>
    </row>
    <row r="13" spans="2:255" ht="16.5" customHeight="1" x14ac:dyDescent="0.25">
      <c r="B13" s="419"/>
      <c r="C13" s="414" t="s">
        <v>962</v>
      </c>
      <c r="D13" s="48" t="s">
        <v>521</v>
      </c>
      <c r="E13" s="49" t="s">
        <v>1066</v>
      </c>
      <c r="F13" s="415">
        <f t="shared" si="0"/>
        <v>1.23132495244174</v>
      </c>
      <c r="G13" s="415" t="str">
        <f t="shared" ca="1" si="1"/>
        <v>Yes</v>
      </c>
      <c r="H13" s="51" t="str">
        <f t="shared" si="2"/>
        <v>Main - Genoa - Screacher</v>
      </c>
      <c r="I13" s="52">
        <v>43541</v>
      </c>
      <c r="J13" s="52">
        <v>44419</v>
      </c>
      <c r="K13" s="53" t="s">
        <v>904</v>
      </c>
      <c r="L13" s="53" t="s">
        <v>299</v>
      </c>
      <c r="M13" s="54"/>
      <c r="N13" s="55" t="s">
        <v>149</v>
      </c>
      <c r="O13" s="55" t="s">
        <v>138</v>
      </c>
      <c r="P13" s="56"/>
      <c r="Q13" s="57">
        <v>11.9</v>
      </c>
      <c r="R13" s="58"/>
      <c r="S13" s="59">
        <f t="shared" si="3"/>
        <v>0.29750000000000004</v>
      </c>
      <c r="T13" s="60"/>
      <c r="U13" s="60">
        <v>0</v>
      </c>
      <c r="V13" s="61">
        <v>11.9</v>
      </c>
      <c r="W13" s="62">
        <f>IF(RL&gt;0,IF(RL&gt;'Look Ups'!R$7,'Look Ups'!R$8,('Look Ups'!R$3*RL^3+'Look Ups'!R$4*RL^2+'Look Ups'!R$5*RL+'Look Ups'!R$6)),0)</f>
        <v>0.29990624700000001</v>
      </c>
      <c r="X13" s="63">
        <v>1573</v>
      </c>
      <c r="Y13" s="289"/>
      <c r="Z13" s="257"/>
      <c r="AA13" s="257"/>
      <c r="AB13" s="290">
        <f t="shared" si="4"/>
        <v>1573</v>
      </c>
      <c r="AC13" s="66">
        <f t="shared" si="5"/>
        <v>1573</v>
      </c>
      <c r="AD13" s="67" t="s">
        <v>129</v>
      </c>
      <c r="AE13" s="68" t="s">
        <v>130</v>
      </c>
      <c r="AF13" s="69" t="s">
        <v>131</v>
      </c>
      <c r="AG13" s="70">
        <f>IF(C13="",0,VLOOKUP(AD13,'Look Ups'!$B$3:$C$6,2,0)*VLOOKUP(AE13,'Look Ups'!$E$3:$F$5,2,0)*VLOOKUP(AF13,'Look Ups'!$H$3:$I$7,2,0))</f>
        <v>1</v>
      </c>
      <c r="AH13" s="71">
        <v>17.66</v>
      </c>
      <c r="AI13" s="60">
        <v>17.440000000000001</v>
      </c>
      <c r="AJ13" s="60">
        <v>4.9400000000000004</v>
      </c>
      <c r="AK13" s="60">
        <v>2.37</v>
      </c>
      <c r="AL13" s="60">
        <v>0.14000000000000001</v>
      </c>
      <c r="AM13" s="60">
        <v>17.66</v>
      </c>
      <c r="AN13" s="60">
        <v>0.13</v>
      </c>
      <c r="AO13" s="60">
        <v>4.97</v>
      </c>
      <c r="AP13" s="60">
        <v>0</v>
      </c>
      <c r="AQ13" s="60">
        <v>0.77</v>
      </c>
      <c r="AR13" s="60" t="s">
        <v>132</v>
      </c>
      <c r="AS13" s="75"/>
      <c r="AT13" s="59">
        <f t="shared" si="6"/>
        <v>17.66</v>
      </c>
      <c r="AU13" s="59">
        <f t="shared" si="7"/>
        <v>5.0993250000000003</v>
      </c>
      <c r="AV13" s="72">
        <f>IF(C13="",0,(0.5*(_ML1*LPM)+0.5*(_ML1*HB)+0.66*(P*PR)+0.66*(_ML2*RDM)+0.66*(E*ER))*VLOOKUP(BATT,'Look Ups'!$N$3:$O$4,2,0))</f>
        <v>67.673984000000004</v>
      </c>
      <c r="AW13" s="73"/>
      <c r="AX13" s="74"/>
      <c r="AY13" s="71">
        <v>13.22</v>
      </c>
      <c r="AZ13" s="60">
        <v>3.37</v>
      </c>
      <c r="BA13" s="60">
        <v>3.49</v>
      </c>
      <c r="BB13" s="60">
        <v>0.12</v>
      </c>
      <c r="BC13" s="60">
        <v>12.68</v>
      </c>
      <c r="BD13" s="60">
        <v>12.11</v>
      </c>
      <c r="BE13" s="60">
        <v>0.39</v>
      </c>
      <c r="BF13" s="60">
        <v>-0.14000000000000001</v>
      </c>
      <c r="BG13" s="60">
        <v>-0.03</v>
      </c>
      <c r="BH13" s="75">
        <v>0</v>
      </c>
      <c r="BI13" s="72">
        <f t="shared" si="8"/>
        <v>23.643988</v>
      </c>
      <c r="BJ13" s="76"/>
      <c r="BK13" s="77"/>
      <c r="BL13" s="78"/>
      <c r="BM13" s="78"/>
      <c r="BN13" s="77"/>
      <c r="BO13" s="78"/>
      <c r="BP13" s="78"/>
      <c r="BQ13" s="79">
        <f t="shared" si="9"/>
        <v>0</v>
      </c>
      <c r="BR13" s="80"/>
      <c r="BS13" s="77"/>
      <c r="BT13" s="77"/>
      <c r="BU13" s="77"/>
      <c r="BV13" s="77"/>
      <c r="BW13" s="77"/>
      <c r="BX13" s="77"/>
      <c r="BY13" s="72">
        <f t="shared" si="10"/>
        <v>0</v>
      </c>
      <c r="BZ13" s="73"/>
      <c r="CA13" s="60"/>
      <c r="CB13" s="60"/>
      <c r="CC13" s="60"/>
      <c r="CD13" s="65" t="str">
        <f t="shared" si="11"/>
        <v/>
      </c>
      <c r="CE13" s="60">
        <v>0</v>
      </c>
      <c r="CF13" s="79">
        <f t="shared" si="12"/>
        <v>0</v>
      </c>
      <c r="CG13" s="71">
        <v>11.11</v>
      </c>
      <c r="CH13" s="60">
        <v>17.95</v>
      </c>
      <c r="CI13" s="60">
        <v>15.88</v>
      </c>
      <c r="CJ13" s="60">
        <v>6.47</v>
      </c>
      <c r="CK13" s="59">
        <f t="shared" si="13"/>
        <v>58.235823582358236</v>
      </c>
      <c r="CL13" s="60">
        <v>0</v>
      </c>
      <c r="CM13" s="72">
        <f t="shared" si="14"/>
        <v>104.280975</v>
      </c>
      <c r="CN13" s="81">
        <f t="shared" si="15"/>
        <v>1</v>
      </c>
      <c r="CO13" s="59">
        <f t="shared" si="16"/>
        <v>72.773309000000012</v>
      </c>
      <c r="CP13" s="59">
        <f t="shared" si="17"/>
        <v>1</v>
      </c>
      <c r="CQ13" s="59">
        <f t="shared" si="18"/>
        <v>23.643988</v>
      </c>
      <c r="CR13" s="59">
        <f>IF(AV13&gt;0,'Look Ups'!$L$3,0)</f>
        <v>1</v>
      </c>
      <c r="CS13" s="59">
        <f t="shared" si="19"/>
        <v>0</v>
      </c>
      <c r="CT13" s="59">
        <f t="shared" si="20"/>
        <v>0</v>
      </c>
      <c r="CU13" s="59">
        <f t="shared" si="21"/>
        <v>0</v>
      </c>
      <c r="CV13" s="79">
        <f t="shared" si="22"/>
        <v>0</v>
      </c>
      <c r="CW13" s="82" t="str">
        <f t="shared" si="23"/>
        <v>valid</v>
      </c>
      <c r="CX13" s="65" t="str">
        <f t="shared" si="24"/>
        <v>-</v>
      </c>
      <c r="CY13" s="66" t="str">
        <f t="shared" si="25"/>
        <v>MGScr</v>
      </c>
      <c r="CZ13" s="81">
        <f t="shared" si="26"/>
        <v>96.417297000000019</v>
      </c>
      <c r="DA13" s="59">
        <f t="shared" si="27"/>
        <v>0</v>
      </c>
      <c r="DB13" s="59">
        <f t="shared" si="28"/>
        <v>28.222945450000001</v>
      </c>
      <c r="DC13" s="59">
        <f t="shared" si="29"/>
        <v>0</v>
      </c>
      <c r="DD13" s="59">
        <f t="shared" si="30"/>
        <v>4.4350342850000004</v>
      </c>
      <c r="DE13" s="79">
        <f t="shared" si="31"/>
        <v>101.72326366800002</v>
      </c>
      <c r="DF13" s="83">
        <f t="shared" si="32"/>
        <v>124.64024245000002</v>
      </c>
      <c r="DG13" s="412"/>
    </row>
    <row r="14" spans="2:255" ht="16.5" customHeight="1" x14ac:dyDescent="0.25">
      <c r="B14" s="418"/>
      <c r="C14" s="414" t="s">
        <v>166</v>
      </c>
      <c r="D14" s="48" t="s">
        <v>167</v>
      </c>
      <c r="E14" s="49" t="s">
        <v>168</v>
      </c>
      <c r="F14" s="415">
        <f t="shared" si="0"/>
        <v>1.0354159640015619</v>
      </c>
      <c r="G14" s="415" t="str">
        <f t="shared" ca="1" si="1"/>
        <v>No</v>
      </c>
      <c r="H14" s="51" t="str">
        <f t="shared" si="2"/>
        <v>Main - Genoa - Screacher - Spinnaker</v>
      </c>
      <c r="I14" s="52">
        <v>38724</v>
      </c>
      <c r="J14" s="52">
        <v>40805</v>
      </c>
      <c r="K14" s="53" t="s">
        <v>169</v>
      </c>
      <c r="L14" s="53" t="s">
        <v>126</v>
      </c>
      <c r="M14" s="54"/>
      <c r="N14" s="55" t="s">
        <v>127</v>
      </c>
      <c r="O14" s="55" t="s">
        <v>138</v>
      </c>
      <c r="P14" s="56"/>
      <c r="Q14" s="57">
        <v>8.8000000000000007</v>
      </c>
      <c r="R14" s="58"/>
      <c r="S14" s="59">
        <f t="shared" si="3"/>
        <v>0.22000000000000003</v>
      </c>
      <c r="T14" s="60">
        <v>0.08</v>
      </c>
      <c r="U14" s="60">
        <v>0</v>
      </c>
      <c r="V14" s="61">
        <f t="shared" ref="V14:V45" si="33">IF((LOAA&gt;LOA),LOAA,LOA-FOC-AOC)</f>
        <v>8.7200000000000006</v>
      </c>
      <c r="W14" s="62">
        <f>IF(RL&gt;0,IF(RL&gt;'Look Ups'!R$7,'Look Ups'!R$8,('Look Ups'!R$3*RL^3+'Look Ups'!R$4*RL^2+'Look Ups'!R$5*RL+'Look Ups'!R$6)),0)</f>
        <v>0.29596704998400003</v>
      </c>
      <c r="X14" s="63">
        <v>1270</v>
      </c>
      <c r="Y14" s="289"/>
      <c r="Z14" s="257"/>
      <c r="AA14" s="257"/>
      <c r="AB14" s="290">
        <f t="shared" si="4"/>
        <v>1270</v>
      </c>
      <c r="AC14" s="66">
        <f t="shared" si="5"/>
        <v>1270</v>
      </c>
      <c r="AD14" s="67" t="s">
        <v>129</v>
      </c>
      <c r="AE14" s="68" t="s">
        <v>130</v>
      </c>
      <c r="AF14" s="69" t="s">
        <v>131</v>
      </c>
      <c r="AG14" s="70">
        <f>IF(C14="",0,VLOOKUP(AD14,'Look Ups'!$B$3:$C$6,2,0)*VLOOKUP(AE14,'Look Ups'!$E$3:$F$5,2,0)*VLOOKUP(AF14,'Look Ups'!$H$3:$I$7,2,0))</f>
        <v>1</v>
      </c>
      <c r="AH14" s="71">
        <v>13.71</v>
      </c>
      <c r="AI14" s="60">
        <v>13.77</v>
      </c>
      <c r="AJ14" s="60">
        <v>3.63</v>
      </c>
      <c r="AK14" s="60">
        <v>1.98</v>
      </c>
      <c r="AL14" s="60">
        <v>0.37</v>
      </c>
      <c r="AM14" s="60">
        <v>13.56</v>
      </c>
      <c r="AN14" s="60">
        <v>0.08</v>
      </c>
      <c r="AO14" s="60">
        <v>3.68</v>
      </c>
      <c r="AP14" s="60">
        <v>0.03</v>
      </c>
      <c r="AQ14" s="60">
        <v>0.7</v>
      </c>
      <c r="AR14" s="60" t="s">
        <v>132</v>
      </c>
      <c r="AS14" s="75">
        <v>0</v>
      </c>
      <c r="AT14" s="59">
        <f t="shared" si="6"/>
        <v>13.59</v>
      </c>
      <c r="AU14" s="59">
        <f t="shared" si="7"/>
        <v>3.5594999999999999</v>
      </c>
      <c r="AV14" s="72">
        <f>IF(C14="",0,(0.5*(_ML1*LPM)+0.5*(_ML1*HB)+0.66*(P*PR)+0.66*(_ML2*RDM)+0.66*(E*ER))*VLOOKUP(BATT,'Look Ups'!$N$3:$O$4,2,0))</f>
        <v>42.608015999999999</v>
      </c>
      <c r="AW14" s="73"/>
      <c r="AX14" s="74"/>
      <c r="AY14" s="71">
        <v>11.21</v>
      </c>
      <c r="AZ14" s="60">
        <v>3.65</v>
      </c>
      <c r="BA14" s="60">
        <v>4.01</v>
      </c>
      <c r="BB14" s="60">
        <v>0.04</v>
      </c>
      <c r="BC14" s="60">
        <v>10.210000000000001</v>
      </c>
      <c r="BD14" s="60">
        <v>10.130000000000001</v>
      </c>
      <c r="BE14" s="60">
        <v>0.5</v>
      </c>
      <c r="BF14" s="60">
        <v>0.08</v>
      </c>
      <c r="BG14" s="60">
        <v>0.04</v>
      </c>
      <c r="BH14" s="75">
        <v>0</v>
      </c>
      <c r="BI14" s="72">
        <f t="shared" si="8"/>
        <v>23.947422</v>
      </c>
      <c r="BJ14" s="76"/>
      <c r="BK14" s="77"/>
      <c r="BL14" s="78"/>
      <c r="BM14" s="78"/>
      <c r="BN14" s="77"/>
      <c r="BO14" s="78"/>
      <c r="BP14" s="78"/>
      <c r="BQ14" s="79">
        <f t="shared" si="9"/>
        <v>0</v>
      </c>
      <c r="BR14" s="80"/>
      <c r="BS14" s="77"/>
      <c r="BT14" s="77"/>
      <c r="BU14" s="77"/>
      <c r="BV14" s="77"/>
      <c r="BW14" s="77"/>
      <c r="BX14" s="77"/>
      <c r="BY14" s="72">
        <f t="shared" si="10"/>
        <v>0</v>
      </c>
      <c r="BZ14" s="73">
        <v>7.68</v>
      </c>
      <c r="CA14" s="60">
        <v>16.32</v>
      </c>
      <c r="CB14" s="60">
        <v>14.6</v>
      </c>
      <c r="CC14" s="60">
        <v>5.79</v>
      </c>
      <c r="CD14" s="65">
        <f t="shared" si="11"/>
        <v>75.390625</v>
      </c>
      <c r="CE14" s="60">
        <v>0</v>
      </c>
      <c r="CF14" s="79">
        <f t="shared" si="12"/>
        <v>79.464399999999998</v>
      </c>
      <c r="CG14" s="71">
        <v>6.82</v>
      </c>
      <c r="CH14" s="60">
        <v>13.7</v>
      </c>
      <c r="CI14" s="60">
        <v>11.98</v>
      </c>
      <c r="CJ14" s="60">
        <v>3.45</v>
      </c>
      <c r="CK14" s="59">
        <f t="shared" si="13"/>
        <v>50.586510263929618</v>
      </c>
      <c r="CL14" s="60">
        <v>0</v>
      </c>
      <c r="CM14" s="72">
        <f t="shared" si="14"/>
        <v>44.126799999999996</v>
      </c>
      <c r="CN14" s="81">
        <f t="shared" si="15"/>
        <v>1</v>
      </c>
      <c r="CO14" s="59">
        <f t="shared" si="16"/>
        <v>46.167515999999999</v>
      </c>
      <c r="CP14" s="59">
        <f t="shared" si="17"/>
        <v>1</v>
      </c>
      <c r="CQ14" s="59">
        <f t="shared" si="18"/>
        <v>23.947422</v>
      </c>
      <c r="CR14" s="59">
        <f>IF(AV14&gt;0,'Look Ups'!$L$3,0)</f>
        <v>1</v>
      </c>
      <c r="CS14" s="59">
        <f t="shared" si="19"/>
        <v>0</v>
      </c>
      <c r="CT14" s="59">
        <f t="shared" si="20"/>
        <v>0</v>
      </c>
      <c r="CU14" s="59">
        <f t="shared" si="21"/>
        <v>0</v>
      </c>
      <c r="CV14" s="79">
        <f t="shared" si="22"/>
        <v>0</v>
      </c>
      <c r="CW14" s="82" t="str">
        <f t="shared" si="23"/>
        <v>valid</v>
      </c>
      <c r="CX14" s="65" t="str">
        <f t="shared" si="24"/>
        <v>valid</v>
      </c>
      <c r="CY14" s="66" t="str">
        <f t="shared" si="25"/>
        <v>MGScrSp</v>
      </c>
      <c r="CZ14" s="81">
        <f t="shared" si="26"/>
        <v>70.114937999999995</v>
      </c>
      <c r="DA14" s="59">
        <f t="shared" si="27"/>
        <v>16.655093399999998</v>
      </c>
      <c r="DB14" s="59">
        <f t="shared" si="28"/>
        <v>7.0627822999999985</v>
      </c>
      <c r="DC14" s="59">
        <f t="shared" si="29"/>
        <v>16.377508509999998</v>
      </c>
      <c r="DD14" s="59">
        <f t="shared" si="30"/>
        <v>1.1098657899999997</v>
      </c>
      <c r="DE14" s="79">
        <f t="shared" si="31"/>
        <v>72.514708151999997</v>
      </c>
      <c r="DF14" s="83">
        <f t="shared" si="32"/>
        <v>87.602312299999994</v>
      </c>
      <c r="DG14" s="366"/>
    </row>
    <row r="15" spans="2:255" ht="16.5" customHeight="1" x14ac:dyDescent="0.25">
      <c r="B15" s="418"/>
      <c r="C15" s="414" t="s">
        <v>1055</v>
      </c>
      <c r="D15" s="84" t="s">
        <v>170</v>
      </c>
      <c r="E15" s="49" t="s">
        <v>1056</v>
      </c>
      <c r="F15" s="415">
        <f t="shared" si="0"/>
        <v>0.86247873657188157</v>
      </c>
      <c r="G15" s="415" t="str">
        <f t="shared" ca="1" si="1"/>
        <v>Yes</v>
      </c>
      <c r="H15" s="51" t="str">
        <f t="shared" si="2"/>
        <v>Main - Genoa - Spinnaker</v>
      </c>
      <c r="I15" s="52">
        <v>43128</v>
      </c>
      <c r="J15" s="52">
        <v>43140</v>
      </c>
      <c r="K15" s="53" t="s">
        <v>1057</v>
      </c>
      <c r="L15" s="53" t="s">
        <v>614</v>
      </c>
      <c r="M15" s="54"/>
      <c r="N15" s="55" t="s">
        <v>127</v>
      </c>
      <c r="O15" s="55" t="s">
        <v>128</v>
      </c>
      <c r="P15" s="85"/>
      <c r="Q15" s="57">
        <v>7.3</v>
      </c>
      <c r="R15" s="58"/>
      <c r="S15" s="59">
        <f t="shared" si="3"/>
        <v>0.1825</v>
      </c>
      <c r="T15" s="60">
        <v>0.01</v>
      </c>
      <c r="U15" s="60">
        <v>0</v>
      </c>
      <c r="V15" s="61">
        <f t="shared" si="33"/>
        <v>7.29</v>
      </c>
      <c r="W15" s="62">
        <f>IF(RL&gt;0,IF(RL&gt;'Look Ups'!R$7,'Look Ups'!R$8,('Look Ups'!R$3*RL^3+'Look Ups'!R$4*RL^2+'Look Ups'!R$5*RL+'Look Ups'!R$6)),0)</f>
        <v>0.29103813613700003</v>
      </c>
      <c r="X15" s="63">
        <v>990</v>
      </c>
      <c r="Y15" s="289"/>
      <c r="Z15" s="257"/>
      <c r="AA15" s="257"/>
      <c r="AB15" s="290">
        <f t="shared" si="4"/>
        <v>990</v>
      </c>
      <c r="AC15" s="66">
        <f t="shared" si="5"/>
        <v>990</v>
      </c>
      <c r="AD15" s="67" t="s">
        <v>129</v>
      </c>
      <c r="AE15" s="68" t="s">
        <v>130</v>
      </c>
      <c r="AF15" s="69" t="s">
        <v>131</v>
      </c>
      <c r="AG15" s="70">
        <f>IF(C15="",0,VLOOKUP(AD15,'Look Ups'!$B$3:$C$6,2,0)*VLOOKUP(AE15,'Look Ups'!$E$3:$F$5,2,0)*VLOOKUP(AF15,'Look Ups'!$H$3:$I$7,2,0))</f>
        <v>1</v>
      </c>
      <c r="AH15" s="71">
        <v>9.94</v>
      </c>
      <c r="AI15" s="60">
        <v>9.65</v>
      </c>
      <c r="AJ15" s="60">
        <v>3.12</v>
      </c>
      <c r="AK15" s="60">
        <v>1.075</v>
      </c>
      <c r="AL15" s="60">
        <v>0.36</v>
      </c>
      <c r="AM15" s="60">
        <v>9.64</v>
      </c>
      <c r="AN15" s="60">
        <v>0.05</v>
      </c>
      <c r="AO15" s="60">
        <v>3.23</v>
      </c>
      <c r="AP15" s="60">
        <v>0.1</v>
      </c>
      <c r="AQ15" s="60">
        <v>0.49</v>
      </c>
      <c r="AR15" s="60" t="s">
        <v>132</v>
      </c>
      <c r="AS15" s="75">
        <v>0</v>
      </c>
      <c r="AT15" s="59">
        <f t="shared" si="6"/>
        <v>9.74</v>
      </c>
      <c r="AU15" s="59">
        <f t="shared" si="7"/>
        <v>1.77135</v>
      </c>
      <c r="AV15" s="72">
        <f>IF(C15="",0,(0.5*(_ML1*LPM)+0.5*(_ML1*HB)+0.66*(P*PR)+0.66*(_ML2*RDM)+0.66*(E*ER))*VLOOKUP(BATT,'Look Ups'!$N$3:$O$4,2,0))</f>
        <v>23.673290000000001</v>
      </c>
      <c r="AW15" s="73"/>
      <c r="AX15" s="74"/>
      <c r="AY15" s="71">
        <v>8.66</v>
      </c>
      <c r="AZ15" s="60">
        <v>2.2850000000000001</v>
      </c>
      <c r="BA15" s="60">
        <v>2.57</v>
      </c>
      <c r="BB15" s="60">
        <v>0.17499999999999999</v>
      </c>
      <c r="BC15" s="60">
        <v>7.77</v>
      </c>
      <c r="BD15" s="60"/>
      <c r="BE15" s="60"/>
      <c r="BF15" s="60">
        <v>0</v>
      </c>
      <c r="BG15" s="60">
        <v>0</v>
      </c>
      <c r="BH15" s="75">
        <v>0</v>
      </c>
      <c r="BI15" s="72">
        <f t="shared" si="8"/>
        <v>10.190885</v>
      </c>
      <c r="BJ15" s="76"/>
      <c r="BK15" s="77"/>
      <c r="BL15" s="78"/>
      <c r="BM15" s="78"/>
      <c r="BN15" s="77"/>
      <c r="BO15" s="78"/>
      <c r="BP15" s="78"/>
      <c r="BQ15" s="79">
        <f t="shared" si="9"/>
        <v>0</v>
      </c>
      <c r="BR15" s="80"/>
      <c r="BS15" s="77"/>
      <c r="BT15" s="77"/>
      <c r="BU15" s="77"/>
      <c r="BV15" s="77"/>
      <c r="BW15" s="77"/>
      <c r="BX15" s="77"/>
      <c r="BY15" s="72">
        <f t="shared" si="10"/>
        <v>0</v>
      </c>
      <c r="BZ15" s="73">
        <v>6.62</v>
      </c>
      <c r="CA15" s="60">
        <v>12.07</v>
      </c>
      <c r="CB15" s="60">
        <v>10.88</v>
      </c>
      <c r="CC15" s="60">
        <v>7.25</v>
      </c>
      <c r="CD15" s="65">
        <f t="shared" si="11"/>
        <v>109.5166163141994</v>
      </c>
      <c r="CE15" s="75">
        <v>0</v>
      </c>
      <c r="CF15" s="79">
        <f t="shared" si="12"/>
        <v>68.123250000000013</v>
      </c>
      <c r="CG15" s="71"/>
      <c r="CH15" s="60"/>
      <c r="CI15" s="60"/>
      <c r="CJ15" s="60"/>
      <c r="CK15" s="59" t="str">
        <f t="shared" si="13"/>
        <v/>
      </c>
      <c r="CL15" s="75">
        <v>0</v>
      </c>
      <c r="CM15" s="72">
        <f t="shared" si="14"/>
        <v>0</v>
      </c>
      <c r="CN15" s="81">
        <f t="shared" si="15"/>
        <v>1</v>
      </c>
      <c r="CO15" s="59">
        <f t="shared" si="16"/>
        <v>25.44464</v>
      </c>
      <c r="CP15" s="59">
        <f t="shared" si="17"/>
        <v>1</v>
      </c>
      <c r="CQ15" s="59">
        <f t="shared" si="18"/>
        <v>10.190885</v>
      </c>
      <c r="CR15" s="59">
        <f>IF(AV15&gt;0,'Look Ups'!$L$3,0)</f>
        <v>1</v>
      </c>
      <c r="CS15" s="59">
        <f t="shared" si="19"/>
        <v>0</v>
      </c>
      <c r="CT15" s="59">
        <f t="shared" si="20"/>
        <v>0</v>
      </c>
      <c r="CU15" s="59">
        <f t="shared" si="21"/>
        <v>0</v>
      </c>
      <c r="CV15" s="79">
        <f t="shared" si="22"/>
        <v>0</v>
      </c>
      <c r="CW15" s="82" t="str">
        <f t="shared" si="23"/>
        <v>-</v>
      </c>
      <c r="CX15" s="65" t="str">
        <f t="shared" si="24"/>
        <v>valid</v>
      </c>
      <c r="CY15" s="66" t="str">
        <f t="shared" si="25"/>
        <v>MGSp</v>
      </c>
      <c r="CZ15" s="81">
        <f t="shared" si="26"/>
        <v>35.635525000000001</v>
      </c>
      <c r="DA15" s="59">
        <f t="shared" si="27"/>
        <v>17.379709500000004</v>
      </c>
      <c r="DB15" s="59">
        <f t="shared" si="28"/>
        <v>0</v>
      </c>
      <c r="DC15" s="59">
        <f t="shared" si="29"/>
        <v>17.090047675000001</v>
      </c>
      <c r="DD15" s="59">
        <f t="shared" si="30"/>
        <v>0</v>
      </c>
      <c r="DE15" s="79">
        <f t="shared" si="31"/>
        <v>37.282930540000002</v>
      </c>
      <c r="DF15" s="83">
        <f t="shared" si="32"/>
        <v>53.015234500000005</v>
      </c>
      <c r="DG15" s="412"/>
    </row>
    <row r="16" spans="2:255" ht="16.5" customHeight="1" x14ac:dyDescent="0.25">
      <c r="B16" s="416"/>
      <c r="C16" s="414" t="s">
        <v>172</v>
      </c>
      <c r="D16" s="48" t="s">
        <v>167</v>
      </c>
      <c r="E16" s="49" t="s">
        <v>173</v>
      </c>
      <c r="F16" s="415">
        <f t="shared" si="0"/>
        <v>1.0236477157683739</v>
      </c>
      <c r="G16" s="415" t="str">
        <f t="shared" ca="1" si="1"/>
        <v>Yes</v>
      </c>
      <c r="H16" s="51" t="str">
        <f t="shared" si="2"/>
        <v>Main - Genoa - Screacher</v>
      </c>
      <c r="I16" s="52">
        <v>44049</v>
      </c>
      <c r="J16" s="52">
        <v>44049</v>
      </c>
      <c r="K16" s="53" t="s">
        <v>904</v>
      </c>
      <c r="L16" s="53" t="s">
        <v>614</v>
      </c>
      <c r="M16" s="54"/>
      <c r="N16" s="55" t="s">
        <v>149</v>
      </c>
      <c r="O16" s="55"/>
      <c r="P16" s="56"/>
      <c r="Q16" s="57">
        <v>12.1</v>
      </c>
      <c r="R16" s="58"/>
      <c r="S16" s="59">
        <f t="shared" si="3"/>
        <v>0.30249999999999999</v>
      </c>
      <c r="T16" s="60">
        <v>0</v>
      </c>
      <c r="U16" s="60">
        <v>0</v>
      </c>
      <c r="V16" s="61">
        <f t="shared" si="33"/>
        <v>12.1</v>
      </c>
      <c r="W16" s="62">
        <f>IF(RL&gt;0,IF(RL&gt;'Look Ups'!R$7,'Look Ups'!R$8,('Look Ups'!R$3*RL^3+'Look Ups'!R$4*RL^2+'Look Ups'!R$5*RL+'Look Ups'!R$6)),0)</f>
        <v>0.3</v>
      </c>
      <c r="X16" s="63">
        <v>2320</v>
      </c>
      <c r="Y16" s="64"/>
      <c r="Z16" s="64"/>
      <c r="AA16" s="64"/>
      <c r="AB16" s="65">
        <f t="shared" si="4"/>
        <v>2320</v>
      </c>
      <c r="AC16" s="66">
        <f t="shared" si="5"/>
        <v>2320</v>
      </c>
      <c r="AD16" s="67" t="s">
        <v>129</v>
      </c>
      <c r="AE16" s="68" t="s">
        <v>130</v>
      </c>
      <c r="AF16" s="69" t="s">
        <v>131</v>
      </c>
      <c r="AG16" s="70">
        <f>IF(C16="",0,VLOOKUP(AD16,'Look Ups'!$B$3:$C$6,2,0)*VLOOKUP(AE16,'Look Ups'!$E$3:$F$5,2,0)*VLOOKUP(AF16,'Look Ups'!$H$3:$I$7,2,0))</f>
        <v>1</v>
      </c>
      <c r="AH16" s="71">
        <v>15.88</v>
      </c>
      <c r="AI16" s="60">
        <v>15.47</v>
      </c>
      <c r="AJ16" s="60">
        <v>4.2300000000000004</v>
      </c>
      <c r="AK16" s="60">
        <v>1.93</v>
      </c>
      <c r="AL16" s="60">
        <v>0.33</v>
      </c>
      <c r="AM16" s="60">
        <v>15.8</v>
      </c>
      <c r="AN16" s="60">
        <v>0.15</v>
      </c>
      <c r="AO16" s="60">
        <v>4.33</v>
      </c>
      <c r="AP16" s="60">
        <v>0.02</v>
      </c>
      <c r="AQ16" s="60">
        <v>0.55000000000000004</v>
      </c>
      <c r="AR16" s="60" t="s">
        <v>132</v>
      </c>
      <c r="AS16" s="75" t="s">
        <v>175</v>
      </c>
      <c r="AT16" s="59">
        <f t="shared" si="6"/>
        <v>15.82</v>
      </c>
      <c r="AU16" s="59">
        <f t="shared" si="7"/>
        <v>3.2587500000000005</v>
      </c>
      <c r="AV16" s="72">
        <f>IF(C16="",0,(0.5*(_ML1*LPM)+0.5*(_ML1*HB)+0.66*(P*PR)+0.66*(_ML2*RDM)+0.66*(E*ER))*VLOOKUP(BATT,'Look Ups'!$N$3:$O$4,2,0))</f>
        <v>53.901122000000001</v>
      </c>
      <c r="AW16" s="73"/>
      <c r="AX16" s="74"/>
      <c r="AY16" s="71">
        <v>12.55</v>
      </c>
      <c r="AZ16" s="60">
        <v>3.96</v>
      </c>
      <c r="BA16" s="60">
        <v>3.94</v>
      </c>
      <c r="BB16" s="60">
        <v>0.06</v>
      </c>
      <c r="BC16" s="60">
        <v>12.04</v>
      </c>
      <c r="BD16" s="60">
        <v>11.96</v>
      </c>
      <c r="BE16" s="60">
        <v>0.24</v>
      </c>
      <c r="BF16" s="60">
        <v>0</v>
      </c>
      <c r="BG16" s="60">
        <v>0</v>
      </c>
      <c r="BH16" s="75" t="s">
        <v>175</v>
      </c>
      <c r="BI16" s="72">
        <f t="shared" si="8"/>
        <v>26.449824</v>
      </c>
      <c r="BJ16" s="76"/>
      <c r="BK16" s="77"/>
      <c r="BL16" s="78"/>
      <c r="BM16" s="78"/>
      <c r="BN16" s="77"/>
      <c r="BO16" s="78"/>
      <c r="BP16" s="78"/>
      <c r="BQ16" s="79">
        <f t="shared" si="9"/>
        <v>0</v>
      </c>
      <c r="BR16" s="80"/>
      <c r="BS16" s="77"/>
      <c r="BT16" s="77"/>
      <c r="BU16" s="77"/>
      <c r="BV16" s="77"/>
      <c r="BW16" s="77"/>
      <c r="BX16" s="77"/>
      <c r="BY16" s="72">
        <f t="shared" si="10"/>
        <v>0</v>
      </c>
      <c r="BZ16" s="73"/>
      <c r="CA16" s="60"/>
      <c r="CB16" s="60"/>
      <c r="CC16" s="60"/>
      <c r="CD16" s="65" t="str">
        <f t="shared" si="11"/>
        <v/>
      </c>
      <c r="CE16" s="60"/>
      <c r="CF16" s="79">
        <f t="shared" si="12"/>
        <v>0</v>
      </c>
      <c r="CG16" s="71">
        <v>10.4</v>
      </c>
      <c r="CH16" s="60">
        <v>16.52</v>
      </c>
      <c r="CI16" s="60">
        <v>16.12</v>
      </c>
      <c r="CJ16" s="60">
        <v>5.79</v>
      </c>
      <c r="CK16" s="59">
        <f t="shared" si="13"/>
        <v>55.673076923076927</v>
      </c>
      <c r="CL16" s="60"/>
      <c r="CM16" s="72">
        <f t="shared" si="14"/>
        <v>91.283200000000008</v>
      </c>
      <c r="CN16" s="81">
        <f t="shared" si="15"/>
        <v>1</v>
      </c>
      <c r="CO16" s="59">
        <f t="shared" si="16"/>
        <v>57.159872000000007</v>
      </c>
      <c r="CP16" s="59">
        <f t="shared" si="17"/>
        <v>1</v>
      </c>
      <c r="CQ16" s="59">
        <f t="shared" si="18"/>
        <v>26.449824</v>
      </c>
      <c r="CR16" s="59">
        <f>IF(AV16&gt;0,'Look Ups'!$L$3,0)</f>
        <v>1</v>
      </c>
      <c r="CS16" s="59">
        <f t="shared" si="19"/>
        <v>0</v>
      </c>
      <c r="CT16" s="59">
        <f t="shared" si="20"/>
        <v>0</v>
      </c>
      <c r="CU16" s="59">
        <f t="shared" si="21"/>
        <v>0</v>
      </c>
      <c r="CV16" s="79">
        <f t="shared" si="22"/>
        <v>0</v>
      </c>
      <c r="CW16" s="82" t="str">
        <f t="shared" si="23"/>
        <v>valid</v>
      </c>
      <c r="CX16" s="65" t="str">
        <f t="shared" si="24"/>
        <v>-</v>
      </c>
      <c r="CY16" s="66" t="str">
        <f t="shared" si="25"/>
        <v>MGScr</v>
      </c>
      <c r="CZ16" s="81">
        <f t="shared" si="26"/>
        <v>83.609696000000014</v>
      </c>
      <c r="DA16" s="59">
        <f t="shared" si="27"/>
        <v>0</v>
      </c>
      <c r="DB16" s="59">
        <f t="shared" si="28"/>
        <v>22.691681600000003</v>
      </c>
      <c r="DC16" s="59">
        <f t="shared" si="29"/>
        <v>0</v>
      </c>
      <c r="DD16" s="59">
        <f t="shared" si="30"/>
        <v>3.5658356800000011</v>
      </c>
      <c r="DE16" s="79">
        <f t="shared" si="31"/>
        <v>86.926381184000007</v>
      </c>
      <c r="DF16" s="83">
        <f t="shared" si="32"/>
        <v>106.30137760000002</v>
      </c>
      <c r="DG16" s="412"/>
    </row>
    <row r="17" spans="2:153" ht="16.5" customHeight="1" x14ac:dyDescent="0.25">
      <c r="B17" s="418"/>
      <c r="C17" s="418" t="s">
        <v>972</v>
      </c>
      <c r="D17" s="169" t="s">
        <v>973</v>
      </c>
      <c r="E17" s="170" t="s">
        <v>974</v>
      </c>
      <c r="F17" s="415">
        <f t="shared" si="0"/>
        <v>1.4256287248444104</v>
      </c>
      <c r="G17" s="415" t="str">
        <f t="shared" ca="1" si="1"/>
        <v>Yes</v>
      </c>
      <c r="H17" s="51" t="str">
        <f t="shared" si="2"/>
        <v>Main - Genoa - Screacher</v>
      </c>
      <c r="I17" s="171">
        <v>43539</v>
      </c>
      <c r="J17" s="171">
        <v>43551</v>
      </c>
      <c r="K17" s="172" t="s">
        <v>506</v>
      </c>
      <c r="L17" s="172" t="s">
        <v>841</v>
      </c>
      <c r="M17" s="171"/>
      <c r="N17" s="173" t="s">
        <v>127</v>
      </c>
      <c r="O17" s="173"/>
      <c r="P17" s="186"/>
      <c r="Q17" s="175">
        <v>21.65</v>
      </c>
      <c r="R17" s="78"/>
      <c r="S17" s="59">
        <f t="shared" si="3"/>
        <v>0.54125000000000001</v>
      </c>
      <c r="T17" s="176"/>
      <c r="U17" s="176">
        <v>0</v>
      </c>
      <c r="V17" s="61">
        <f t="shared" si="33"/>
        <v>21.65</v>
      </c>
      <c r="W17" s="62">
        <f>IF(RL&gt;0,IF(RL&gt;'Look Ups'!R$7,'Look Ups'!R$8,('Look Ups'!R$3*RL^3+'Look Ups'!R$4*RL^2+'Look Ups'!R$5*RL+'Look Ups'!R$6)),0)</f>
        <v>0.3</v>
      </c>
      <c r="X17" s="177">
        <f>6645-15</f>
        <v>6630</v>
      </c>
      <c r="Y17" s="315"/>
      <c r="Z17" s="432"/>
      <c r="AA17" s="421"/>
      <c r="AB17" s="290">
        <f t="shared" si="4"/>
        <v>6630</v>
      </c>
      <c r="AC17" s="66">
        <f t="shared" si="5"/>
        <v>6630</v>
      </c>
      <c r="AD17" s="179" t="s">
        <v>129</v>
      </c>
      <c r="AE17" s="180" t="s">
        <v>130</v>
      </c>
      <c r="AF17" s="181" t="s">
        <v>300</v>
      </c>
      <c r="AG17" s="70">
        <f>IF(C17="",0,VLOOKUP(AD17,'Look Ups'!$B$3:$C$6,2,0)*VLOOKUP(AE17,'Look Ups'!$E$3:$F$5,2,0)*VLOOKUP(AF17,'Look Ups'!$H$3:$I$7,2,0))</f>
        <v>0.995</v>
      </c>
      <c r="AH17" s="80">
        <v>26.3</v>
      </c>
      <c r="AI17" s="77">
        <v>26.37</v>
      </c>
      <c r="AJ17" s="77">
        <v>7.82</v>
      </c>
      <c r="AK17" s="77">
        <v>3.98</v>
      </c>
      <c r="AL17" s="77">
        <v>0.84</v>
      </c>
      <c r="AM17" s="77">
        <v>26.1</v>
      </c>
      <c r="AN17" s="77">
        <v>0.05</v>
      </c>
      <c r="AO17" s="77">
        <v>7.95</v>
      </c>
      <c r="AP17" s="77">
        <v>0.04</v>
      </c>
      <c r="AQ17" s="77">
        <v>1.84</v>
      </c>
      <c r="AR17" s="77" t="s">
        <v>132</v>
      </c>
      <c r="AS17" s="87"/>
      <c r="AT17" s="59">
        <f t="shared" si="6"/>
        <v>26.14</v>
      </c>
      <c r="AU17" s="59">
        <f t="shared" si="7"/>
        <v>18.009000000000004</v>
      </c>
      <c r="AV17" s="72">
        <f>IF(C17="",0,(0.5*(_ML1*LPM)+0.5*(_ML1*HB)+0.66*(P*PR)+0.66*(_ML2*RDM)+0.66*(E*ER))*VLOOKUP(BATT,'Look Ups'!$N$3:$O$4,2,0))</f>
        <v>170.86070800000002</v>
      </c>
      <c r="AW17" s="182"/>
      <c r="AX17" s="183"/>
      <c r="AY17" s="80">
        <v>25.5</v>
      </c>
      <c r="AZ17" s="77">
        <v>9.66</v>
      </c>
      <c r="BA17" s="77">
        <v>10.48</v>
      </c>
      <c r="BB17" s="77">
        <v>0.15</v>
      </c>
      <c r="BC17" s="77">
        <v>23.34</v>
      </c>
      <c r="BD17" s="77"/>
      <c r="BE17" s="77"/>
      <c r="BF17" s="77">
        <v>0.18</v>
      </c>
      <c r="BG17" s="77">
        <v>-0.05</v>
      </c>
      <c r="BH17" s="87"/>
      <c r="BI17" s="72">
        <f t="shared" si="8"/>
        <v>126.13381200000001</v>
      </c>
      <c r="BJ17" s="76"/>
      <c r="BK17" s="77"/>
      <c r="BL17" s="78"/>
      <c r="BM17" s="78"/>
      <c r="BN17" s="77"/>
      <c r="BO17" s="78"/>
      <c r="BP17" s="78"/>
      <c r="BQ17" s="79">
        <f t="shared" si="9"/>
        <v>0</v>
      </c>
      <c r="BR17" s="80"/>
      <c r="BS17" s="77"/>
      <c r="BT17" s="77"/>
      <c r="BU17" s="77"/>
      <c r="BV17" s="77"/>
      <c r="BW17" s="77"/>
      <c r="BX17" s="77"/>
      <c r="BY17" s="72">
        <f t="shared" si="10"/>
        <v>0</v>
      </c>
      <c r="BZ17" s="182"/>
      <c r="CA17" s="77"/>
      <c r="CB17" s="77"/>
      <c r="CC17" s="77"/>
      <c r="CD17" s="65" t="str">
        <f t="shared" si="11"/>
        <v/>
      </c>
      <c r="CE17" s="77"/>
      <c r="CF17" s="79">
        <f t="shared" si="12"/>
        <v>0</v>
      </c>
      <c r="CG17" s="80">
        <v>18.84</v>
      </c>
      <c r="CH17" s="77">
        <v>31.55</v>
      </c>
      <c r="CI17" s="77">
        <v>25.97</v>
      </c>
      <c r="CJ17" s="77">
        <v>10.63</v>
      </c>
      <c r="CK17" s="59">
        <f t="shared" si="13"/>
        <v>56.42250530785563</v>
      </c>
      <c r="CL17" s="77"/>
      <c r="CM17" s="72">
        <f t="shared" si="14"/>
        <v>294.11893333333336</v>
      </c>
      <c r="CN17" s="81">
        <f t="shared" si="15"/>
        <v>1</v>
      </c>
      <c r="CO17" s="59">
        <f t="shared" si="16"/>
        <v>188.86970800000003</v>
      </c>
      <c r="CP17" s="59">
        <f t="shared" si="17"/>
        <v>1</v>
      </c>
      <c r="CQ17" s="59">
        <f t="shared" si="18"/>
        <v>126.13381200000001</v>
      </c>
      <c r="CR17" s="59">
        <f>IF(AV17&gt;0,'Look Ups'!$L$3,0)</f>
        <v>1</v>
      </c>
      <c r="CS17" s="59">
        <f t="shared" si="19"/>
        <v>0</v>
      </c>
      <c r="CT17" s="59">
        <f t="shared" si="20"/>
        <v>0</v>
      </c>
      <c r="CU17" s="59">
        <f t="shared" si="21"/>
        <v>0</v>
      </c>
      <c r="CV17" s="79">
        <f t="shared" si="22"/>
        <v>0</v>
      </c>
      <c r="CW17" s="82" t="str">
        <f t="shared" si="23"/>
        <v>valid</v>
      </c>
      <c r="CX17" s="65" t="str">
        <f t="shared" si="24"/>
        <v>-</v>
      </c>
      <c r="CY17" s="66" t="str">
        <f t="shared" si="25"/>
        <v>MGScr</v>
      </c>
      <c r="CZ17" s="81">
        <f t="shared" si="26"/>
        <v>315.00352000000004</v>
      </c>
      <c r="DA17" s="59">
        <f t="shared" si="27"/>
        <v>0</v>
      </c>
      <c r="DB17" s="59">
        <f t="shared" si="28"/>
        <v>58.794792466666671</v>
      </c>
      <c r="DC17" s="59">
        <f t="shared" si="29"/>
        <v>0</v>
      </c>
      <c r="DD17" s="59">
        <f t="shared" si="30"/>
        <v>9.2391816733333343</v>
      </c>
      <c r="DE17" s="79">
        <f t="shared" si="31"/>
        <v>321.77899676800001</v>
      </c>
      <c r="DF17" s="83">
        <f t="shared" si="32"/>
        <v>373.79831246666669</v>
      </c>
      <c r="DG17" s="412"/>
      <c r="EW17" s="365"/>
    </row>
    <row r="18" spans="2:153" ht="16.5" customHeight="1" x14ac:dyDescent="0.3">
      <c r="B18" s="418"/>
      <c r="C18" s="418" t="s">
        <v>572</v>
      </c>
      <c r="D18" s="169" t="s">
        <v>573</v>
      </c>
      <c r="E18" s="170" t="s">
        <v>859</v>
      </c>
      <c r="F18" s="415">
        <f t="shared" si="0"/>
        <v>0.84955653865014602</v>
      </c>
      <c r="G18" s="415" t="str">
        <f t="shared" ca="1" si="1"/>
        <v>Yes</v>
      </c>
      <c r="H18" s="51" t="str">
        <f t="shared" si="2"/>
        <v>Main - Genoa - Screacher - Spinnaker</v>
      </c>
      <c r="I18" s="171">
        <v>43175</v>
      </c>
      <c r="J18" s="171">
        <v>43175</v>
      </c>
      <c r="K18" s="172" t="s">
        <v>849</v>
      </c>
      <c r="L18" s="172" t="s">
        <v>841</v>
      </c>
      <c r="M18" s="171"/>
      <c r="N18" s="173" t="s">
        <v>127</v>
      </c>
      <c r="O18" s="173"/>
      <c r="P18" s="186"/>
      <c r="Q18" s="175">
        <v>9.34</v>
      </c>
      <c r="R18" s="78"/>
      <c r="S18" s="59">
        <f t="shared" si="3"/>
        <v>0.23350000000000001</v>
      </c>
      <c r="T18" s="176"/>
      <c r="U18" s="176">
        <v>0</v>
      </c>
      <c r="V18" s="61">
        <f t="shared" si="33"/>
        <v>9.34</v>
      </c>
      <c r="W18" s="62">
        <f>IF(RL&gt;0,IF(RL&gt;'Look Ups'!R$7,'Look Ups'!R$8,('Look Ups'!R$3*RL^3+'Look Ups'!R$4*RL^2+'Look Ups'!R$5*RL+'Look Ups'!R$6)),0)</f>
        <v>0.29738791663200004</v>
      </c>
      <c r="X18" s="177">
        <v>2710</v>
      </c>
      <c r="Y18" s="315"/>
      <c r="Z18" s="425"/>
      <c r="AA18" s="425"/>
      <c r="AB18" s="290">
        <f t="shared" si="4"/>
        <v>2710</v>
      </c>
      <c r="AC18" s="66">
        <f t="shared" si="5"/>
        <v>2710</v>
      </c>
      <c r="AD18" s="179" t="s">
        <v>129</v>
      </c>
      <c r="AE18" s="180" t="s">
        <v>130</v>
      </c>
      <c r="AF18" s="181" t="s">
        <v>131</v>
      </c>
      <c r="AG18" s="70">
        <f>IF(C18="",0,VLOOKUP(AD18,'Look Ups'!$B$3:$C$6,2,0)*VLOOKUP(AE18,'Look Ups'!$E$3:$F$5,2,0)*VLOOKUP(AF18,'Look Ups'!$H$3:$I$7,2,0))</f>
        <v>1</v>
      </c>
      <c r="AH18" s="80">
        <v>13.85</v>
      </c>
      <c r="AI18" s="77">
        <v>13.55</v>
      </c>
      <c r="AJ18" s="77">
        <v>4.3</v>
      </c>
      <c r="AK18" s="77">
        <v>1.01</v>
      </c>
      <c r="AL18" s="77">
        <v>0.81</v>
      </c>
      <c r="AM18" s="77">
        <v>13.94</v>
      </c>
      <c r="AN18" s="77">
        <v>0.18</v>
      </c>
      <c r="AO18" s="77">
        <v>4.3</v>
      </c>
      <c r="AP18" s="77">
        <v>3.5000000000000003E-2</v>
      </c>
      <c r="AQ18" s="77">
        <v>0.60000000000000009</v>
      </c>
      <c r="AR18" s="77" t="s">
        <v>132</v>
      </c>
      <c r="AS18" s="87" t="s">
        <v>574</v>
      </c>
      <c r="AT18" s="59">
        <f t="shared" si="6"/>
        <v>13.975</v>
      </c>
      <c r="AU18" s="59">
        <f t="shared" si="7"/>
        <v>3.1365000000000003</v>
      </c>
      <c r="AV18" s="72">
        <f>IF(C18="",0,(0.5*(_ML1*LPM)+0.5*(_ML1*HB)+0.66*(P*PR)+0.66*(_ML2*RDM)+0.66*(E*ER))*VLOOKUP(BATT,'Look Ups'!$N$3:$O$4,2,0))</f>
        <v>45.770982000000004</v>
      </c>
      <c r="AW18" s="182"/>
      <c r="AX18" s="183"/>
      <c r="AY18" s="80">
        <v>11.49</v>
      </c>
      <c r="AZ18" s="77">
        <v>4.79</v>
      </c>
      <c r="BA18" s="77">
        <v>5.24</v>
      </c>
      <c r="BB18" s="77">
        <v>0.1</v>
      </c>
      <c r="BC18" s="77">
        <v>10.53</v>
      </c>
      <c r="BD18" s="77"/>
      <c r="BE18" s="77"/>
      <c r="BF18" s="77">
        <v>-0.27</v>
      </c>
      <c r="BG18" s="77">
        <v>0</v>
      </c>
      <c r="BH18" s="87" t="s">
        <v>575</v>
      </c>
      <c r="BI18" s="72">
        <f t="shared" si="8"/>
        <v>25.987943999999999</v>
      </c>
      <c r="BJ18" s="76"/>
      <c r="BK18" s="77"/>
      <c r="BL18" s="78"/>
      <c r="BM18" s="78"/>
      <c r="BN18" s="77"/>
      <c r="BO18" s="78"/>
      <c r="BP18" s="78"/>
      <c r="BQ18" s="79">
        <f t="shared" si="9"/>
        <v>0</v>
      </c>
      <c r="BR18" s="80"/>
      <c r="BS18" s="77"/>
      <c r="BT18" s="77"/>
      <c r="BU18" s="77"/>
      <c r="BV18" s="77"/>
      <c r="BW18" s="77"/>
      <c r="BX18" s="77"/>
      <c r="BY18" s="72">
        <f t="shared" si="10"/>
        <v>0</v>
      </c>
      <c r="BZ18" s="182">
        <v>7.9</v>
      </c>
      <c r="CA18" s="77">
        <v>15.8</v>
      </c>
      <c r="CB18" s="77">
        <v>12.95</v>
      </c>
      <c r="CC18" s="77">
        <v>6.87</v>
      </c>
      <c r="CD18" s="65">
        <f t="shared" si="11"/>
        <v>86.962025316455694</v>
      </c>
      <c r="CE18" s="77"/>
      <c r="CF18" s="79">
        <f t="shared" si="12"/>
        <v>84.764583333333334</v>
      </c>
      <c r="CG18" s="80">
        <v>7.43</v>
      </c>
      <c r="CH18" s="77">
        <v>13.07</v>
      </c>
      <c r="CI18" s="77">
        <v>10.23</v>
      </c>
      <c r="CJ18" s="77">
        <v>3.86</v>
      </c>
      <c r="CK18" s="59">
        <f t="shared" si="13"/>
        <v>51.95154777927322</v>
      </c>
      <c r="CL18" s="77"/>
      <c r="CM18" s="72">
        <f t="shared" si="14"/>
        <v>44.40591666666667</v>
      </c>
      <c r="CN18" s="81">
        <f t="shared" si="15"/>
        <v>1</v>
      </c>
      <c r="CO18" s="59">
        <f t="shared" si="16"/>
        <v>48.907482000000002</v>
      </c>
      <c r="CP18" s="59">
        <f t="shared" si="17"/>
        <v>1</v>
      </c>
      <c r="CQ18" s="59">
        <f t="shared" si="18"/>
        <v>25.987943999999999</v>
      </c>
      <c r="CR18" s="59">
        <f>IF(AV18&gt;0,'Look Ups'!$L$3,0)</f>
        <v>1</v>
      </c>
      <c r="CS18" s="59">
        <f t="shared" si="19"/>
        <v>0</v>
      </c>
      <c r="CT18" s="59">
        <f t="shared" si="20"/>
        <v>0</v>
      </c>
      <c r="CU18" s="59">
        <f t="shared" si="21"/>
        <v>0</v>
      </c>
      <c r="CV18" s="79">
        <f t="shared" si="22"/>
        <v>0</v>
      </c>
      <c r="CW18" s="82" t="str">
        <f t="shared" si="23"/>
        <v>valid</v>
      </c>
      <c r="CX18" s="65" t="str">
        <f t="shared" si="24"/>
        <v>valid</v>
      </c>
      <c r="CY18" s="66" t="str">
        <f t="shared" si="25"/>
        <v>MGScrSp</v>
      </c>
      <c r="CZ18" s="81">
        <f t="shared" si="26"/>
        <v>74.895426</v>
      </c>
      <c r="DA18" s="59">
        <f t="shared" si="27"/>
        <v>17.632991799999999</v>
      </c>
      <c r="DB18" s="59">
        <f t="shared" si="28"/>
        <v>6.4462904333333348</v>
      </c>
      <c r="DC18" s="59">
        <f t="shared" si="29"/>
        <v>17.339108603333333</v>
      </c>
      <c r="DD18" s="59">
        <f t="shared" si="30"/>
        <v>1.0129884966666669</v>
      </c>
      <c r="DE18" s="79">
        <f t="shared" si="31"/>
        <v>77.370736104000002</v>
      </c>
      <c r="DF18" s="83">
        <f t="shared" si="32"/>
        <v>93.247523099999995</v>
      </c>
      <c r="DG18" s="412"/>
    </row>
    <row r="19" spans="2:153" ht="16.5" customHeight="1" x14ac:dyDescent="0.25">
      <c r="B19" s="414"/>
      <c r="C19" s="414" t="s">
        <v>191</v>
      </c>
      <c r="D19" s="48" t="s">
        <v>192</v>
      </c>
      <c r="E19" s="49" t="s">
        <v>193</v>
      </c>
      <c r="F19" s="415">
        <f t="shared" si="0"/>
        <v>0.88208275188214313</v>
      </c>
      <c r="G19" s="415" t="str">
        <f t="shared" ca="1" si="1"/>
        <v>Yes</v>
      </c>
      <c r="H19" s="51" t="str">
        <f t="shared" si="2"/>
        <v>Main - Genoa - Screacher - Spinnaker</v>
      </c>
      <c r="I19" s="52">
        <v>42017</v>
      </c>
      <c r="J19" s="52">
        <v>42279</v>
      </c>
      <c r="K19" s="53" t="s">
        <v>194</v>
      </c>
      <c r="L19" s="53" t="s">
        <v>137</v>
      </c>
      <c r="M19" s="54"/>
      <c r="N19" s="55" t="s">
        <v>127</v>
      </c>
      <c r="O19" s="55" t="s">
        <v>128</v>
      </c>
      <c r="P19" s="56"/>
      <c r="Q19" s="57">
        <v>7.05</v>
      </c>
      <c r="R19" s="58"/>
      <c r="S19" s="59">
        <f t="shared" si="3"/>
        <v>0.17625000000000002</v>
      </c>
      <c r="T19" s="60"/>
      <c r="U19" s="60"/>
      <c r="V19" s="61">
        <f t="shared" si="33"/>
        <v>7.05</v>
      </c>
      <c r="W19" s="62">
        <f>IF(RL&gt;0,IF(RL&gt;'Look Ups'!R$7,'Look Ups'!R$8,('Look Ups'!R$3*RL^3+'Look Ups'!R$4*RL^2+'Look Ups'!R$5*RL+'Look Ups'!R$6)),0)</f>
        <v>0.28995478662500002</v>
      </c>
      <c r="X19" s="63">
        <v>871</v>
      </c>
      <c r="Y19" s="64"/>
      <c r="Z19" s="64"/>
      <c r="AA19" s="64"/>
      <c r="AB19" s="65">
        <f t="shared" si="4"/>
        <v>871</v>
      </c>
      <c r="AC19" s="66">
        <f t="shared" si="5"/>
        <v>871</v>
      </c>
      <c r="AD19" s="67" t="s">
        <v>129</v>
      </c>
      <c r="AE19" s="68" t="s">
        <v>130</v>
      </c>
      <c r="AF19" s="69" t="s">
        <v>131</v>
      </c>
      <c r="AG19" s="70">
        <f>IF(C19="",0,VLOOKUP(AD19,'Look Ups'!$B$3:$C$6,2,0)*VLOOKUP(AE19,'Look Ups'!$E$3:$F$5,2,0)*VLOOKUP(AF19,'Look Ups'!$H$3:$I$7,2,0))</f>
        <v>1</v>
      </c>
      <c r="AH19" s="71">
        <v>10.59</v>
      </c>
      <c r="AI19" s="60">
        <v>10.31</v>
      </c>
      <c r="AJ19" s="60">
        <v>2.92</v>
      </c>
      <c r="AK19" s="60">
        <v>1.17</v>
      </c>
      <c r="AL19" s="60">
        <v>0.24</v>
      </c>
      <c r="AM19" s="60">
        <v>10.54</v>
      </c>
      <c r="AN19" s="60">
        <v>0.1</v>
      </c>
      <c r="AO19" s="60">
        <v>2.97</v>
      </c>
      <c r="AP19" s="60">
        <v>0.01</v>
      </c>
      <c r="AQ19" s="60">
        <v>0.49</v>
      </c>
      <c r="AR19" s="60" t="s">
        <v>132</v>
      </c>
      <c r="AS19" s="75"/>
      <c r="AT19" s="59">
        <f t="shared" si="6"/>
        <v>10.549999999999999</v>
      </c>
      <c r="AU19" s="59">
        <f t="shared" si="7"/>
        <v>1.9367249999999998</v>
      </c>
      <c r="AV19" s="72">
        <f>IF(C19="",0,(0.5*(_ML1*LPM)+0.5*(_ML1*HB)+0.66*(P*PR)+0.66*(_ML2*RDM)+0.66*(E*ER))*VLOOKUP(BATT,'Look Ups'!$N$3:$O$4,2,0))</f>
        <v>24.004895999999999</v>
      </c>
      <c r="AW19" s="73"/>
      <c r="AX19" s="74"/>
      <c r="AY19" s="71">
        <v>9.2799999999999994</v>
      </c>
      <c r="AZ19" s="60">
        <v>2.61</v>
      </c>
      <c r="BA19" s="60">
        <v>2.99</v>
      </c>
      <c r="BB19" s="60">
        <v>7.0000000000000007E-2</v>
      </c>
      <c r="BC19" s="60">
        <v>8.32</v>
      </c>
      <c r="BD19" s="60">
        <v>0</v>
      </c>
      <c r="BE19" s="60">
        <v>0</v>
      </c>
      <c r="BF19" s="60">
        <v>0.16</v>
      </c>
      <c r="BG19" s="60">
        <v>-0.02</v>
      </c>
      <c r="BH19" s="75" t="s">
        <v>195</v>
      </c>
      <c r="BI19" s="72">
        <f t="shared" si="8"/>
        <v>13.004633999999998</v>
      </c>
      <c r="BJ19" s="76"/>
      <c r="BK19" s="77"/>
      <c r="BL19" s="78"/>
      <c r="BM19" s="78"/>
      <c r="BN19" s="77"/>
      <c r="BO19" s="78"/>
      <c r="BP19" s="78"/>
      <c r="BQ19" s="79">
        <f t="shared" si="9"/>
        <v>0</v>
      </c>
      <c r="BR19" s="80"/>
      <c r="BS19" s="77"/>
      <c r="BT19" s="77"/>
      <c r="BU19" s="77"/>
      <c r="BV19" s="77"/>
      <c r="BW19" s="77"/>
      <c r="BX19" s="77"/>
      <c r="BY19" s="72">
        <f t="shared" si="10"/>
        <v>0</v>
      </c>
      <c r="BZ19" s="73">
        <v>6.49</v>
      </c>
      <c r="CA19" s="60">
        <v>11.16</v>
      </c>
      <c r="CB19" s="60">
        <v>11.88</v>
      </c>
      <c r="CC19" s="60">
        <v>5.55</v>
      </c>
      <c r="CD19" s="65">
        <f t="shared" si="11"/>
        <v>85.516178736517716</v>
      </c>
      <c r="CE19" s="60"/>
      <c r="CF19" s="79">
        <f t="shared" si="12"/>
        <v>55.084799999999994</v>
      </c>
      <c r="CG19" s="71">
        <v>5.39</v>
      </c>
      <c r="CH19" s="60">
        <v>10.6</v>
      </c>
      <c r="CI19" s="60">
        <v>8.4499999999999993</v>
      </c>
      <c r="CJ19" s="60">
        <v>2.7</v>
      </c>
      <c r="CK19" s="59">
        <f t="shared" si="13"/>
        <v>50.09276437847867</v>
      </c>
      <c r="CL19" s="60"/>
      <c r="CM19" s="72">
        <f t="shared" si="14"/>
        <v>25.701624999999996</v>
      </c>
      <c r="CN19" s="81">
        <f t="shared" si="15"/>
        <v>1</v>
      </c>
      <c r="CO19" s="59">
        <f t="shared" si="16"/>
        <v>25.941620999999998</v>
      </c>
      <c r="CP19" s="59">
        <f t="shared" si="17"/>
        <v>1</v>
      </c>
      <c r="CQ19" s="59">
        <f t="shared" si="18"/>
        <v>13.004633999999998</v>
      </c>
      <c r="CR19" s="59">
        <f>IF(AV19&gt;0,'Look Ups'!$L$3,0)</f>
        <v>1</v>
      </c>
      <c r="CS19" s="59">
        <f t="shared" si="19"/>
        <v>0</v>
      </c>
      <c r="CT19" s="59">
        <f t="shared" si="20"/>
        <v>0</v>
      </c>
      <c r="CU19" s="59">
        <f t="shared" si="21"/>
        <v>0</v>
      </c>
      <c r="CV19" s="79">
        <f t="shared" si="22"/>
        <v>0</v>
      </c>
      <c r="CW19" s="82" t="str">
        <f t="shared" si="23"/>
        <v>valid</v>
      </c>
      <c r="CX19" s="65" t="str">
        <f t="shared" si="24"/>
        <v>valid</v>
      </c>
      <c r="CY19" s="66" t="str">
        <f t="shared" si="25"/>
        <v>MGScrSp</v>
      </c>
      <c r="CZ19" s="81">
        <f t="shared" si="26"/>
        <v>38.946254999999994</v>
      </c>
      <c r="DA19" s="59">
        <f t="shared" si="27"/>
        <v>12.6240498</v>
      </c>
      <c r="DB19" s="59">
        <f t="shared" si="28"/>
        <v>4.4439468499999997</v>
      </c>
      <c r="DC19" s="59">
        <f t="shared" si="29"/>
        <v>12.413648969999999</v>
      </c>
      <c r="DD19" s="59">
        <f t="shared" si="30"/>
        <v>0.69833450499999994</v>
      </c>
      <c r="DE19" s="79">
        <f t="shared" si="31"/>
        <v>40.343449595999992</v>
      </c>
      <c r="DF19" s="83">
        <f t="shared" si="32"/>
        <v>52.058238474999989</v>
      </c>
      <c r="DG19" s="412"/>
    </row>
    <row r="20" spans="2:153" ht="16.5" customHeight="1" x14ac:dyDescent="0.3">
      <c r="B20" s="414"/>
      <c r="C20" s="414" t="s">
        <v>196</v>
      </c>
      <c r="D20" s="48" t="s">
        <v>197</v>
      </c>
      <c r="E20" s="49" t="s">
        <v>198</v>
      </c>
      <c r="F20" s="415">
        <f t="shared" si="0"/>
        <v>1.0628104515469716</v>
      </c>
      <c r="G20" s="415" t="str">
        <f t="shared" ca="1" si="1"/>
        <v>Yes</v>
      </c>
      <c r="H20" s="51" t="str">
        <f t="shared" si="2"/>
        <v>Main - Genoa - Screacher - Spinnaker</v>
      </c>
      <c r="I20" s="52">
        <v>43007</v>
      </c>
      <c r="J20" s="52">
        <v>44272</v>
      </c>
      <c r="K20" s="53" t="s">
        <v>614</v>
      </c>
      <c r="L20" s="53" t="s">
        <v>614</v>
      </c>
      <c r="M20" s="54"/>
      <c r="N20" s="55" t="s">
        <v>149</v>
      </c>
      <c r="O20" s="55"/>
      <c r="P20" s="56"/>
      <c r="Q20" s="57">
        <v>11.39</v>
      </c>
      <c r="R20" s="58"/>
      <c r="S20" s="59">
        <f t="shared" si="3"/>
        <v>0.28475</v>
      </c>
      <c r="T20" s="60">
        <v>0</v>
      </c>
      <c r="U20" s="60">
        <v>0</v>
      </c>
      <c r="V20" s="61">
        <f t="shared" si="33"/>
        <v>11.39</v>
      </c>
      <c r="W20" s="62">
        <f>IF(RL&gt;0,IF(RL&gt;'Look Ups'!R$7,'Look Ups'!R$8,('Look Ups'!R$3*RL^3+'Look Ups'!R$4*RL^2+'Look Ups'!R$5*RL+'Look Ups'!R$6)),0)</f>
        <v>0.29974246442700003</v>
      </c>
      <c r="X20" s="63">
        <v>2120</v>
      </c>
      <c r="Y20" s="170"/>
      <c r="Z20" s="438"/>
      <c r="AA20" s="425"/>
      <c r="AB20" s="290">
        <f t="shared" si="4"/>
        <v>2120</v>
      </c>
      <c r="AC20" s="66">
        <f t="shared" si="5"/>
        <v>2120</v>
      </c>
      <c r="AD20" s="67" t="s">
        <v>129</v>
      </c>
      <c r="AE20" s="68" t="s">
        <v>130</v>
      </c>
      <c r="AF20" s="69" t="s">
        <v>131</v>
      </c>
      <c r="AG20" s="70">
        <f>IF(C20="",0,VLOOKUP(AD20,'Look Ups'!$B$3:$C$6,2,0)*VLOOKUP(AE20,'Look Ups'!$E$3:$F$5,2,0)*VLOOKUP(AF20,'Look Ups'!$H$3:$I$7,2,0))</f>
        <v>1</v>
      </c>
      <c r="AH20" s="71">
        <v>15.125</v>
      </c>
      <c r="AI20" s="60">
        <v>14.81</v>
      </c>
      <c r="AJ20" s="60">
        <v>4.74</v>
      </c>
      <c r="AK20" s="60">
        <v>1.69</v>
      </c>
      <c r="AL20" s="60">
        <v>0.51</v>
      </c>
      <c r="AM20" s="60">
        <v>14.8</v>
      </c>
      <c r="AN20" s="60">
        <v>0.24</v>
      </c>
      <c r="AO20" s="60">
        <v>4.8499999999999996</v>
      </c>
      <c r="AP20" s="60">
        <v>0.06</v>
      </c>
      <c r="AQ20" s="60">
        <v>0.55000000000000004</v>
      </c>
      <c r="AR20" s="60" t="s">
        <v>132</v>
      </c>
      <c r="AS20" s="75">
        <v>0</v>
      </c>
      <c r="AT20" s="59">
        <f t="shared" si="6"/>
        <v>14.860000000000001</v>
      </c>
      <c r="AU20" s="59">
        <f t="shared" si="7"/>
        <v>3.0525000000000007</v>
      </c>
      <c r="AV20" s="72">
        <f>IF(C20="",0,(0.5*(_ML1*LPM)+0.5*(_ML1*HB)+0.66*(P*PR)+0.66*(_ML2*RDM)+0.66*(E*ER))*VLOOKUP(BATT,'Look Ups'!$N$3:$O$4,2,0))</f>
        <v>56.148301000000004</v>
      </c>
      <c r="AW20" s="73"/>
      <c r="AX20" s="74"/>
      <c r="AY20" s="71">
        <v>13.32</v>
      </c>
      <c r="AZ20" s="60">
        <v>3.58</v>
      </c>
      <c r="BA20" s="60">
        <v>3.66</v>
      </c>
      <c r="BB20" s="60">
        <v>0.05</v>
      </c>
      <c r="BC20" s="60">
        <v>13.07</v>
      </c>
      <c r="BD20" s="60"/>
      <c r="BE20" s="60"/>
      <c r="BF20" s="60">
        <v>-0.01</v>
      </c>
      <c r="BG20" s="60">
        <v>7.0000000000000007E-2</v>
      </c>
      <c r="BH20" s="75">
        <v>0</v>
      </c>
      <c r="BI20" s="72">
        <f t="shared" si="8"/>
        <v>24.492701999999998</v>
      </c>
      <c r="BJ20" s="76"/>
      <c r="BK20" s="77"/>
      <c r="BL20" s="78"/>
      <c r="BM20" s="78"/>
      <c r="BN20" s="77"/>
      <c r="BO20" s="78"/>
      <c r="BP20" s="78"/>
      <c r="BQ20" s="79">
        <f t="shared" si="9"/>
        <v>0</v>
      </c>
      <c r="BR20" s="80"/>
      <c r="BS20" s="77"/>
      <c r="BT20" s="77"/>
      <c r="BU20" s="77"/>
      <c r="BV20" s="77"/>
      <c r="BW20" s="77"/>
      <c r="BX20" s="77"/>
      <c r="BY20" s="72">
        <f t="shared" si="10"/>
        <v>0</v>
      </c>
      <c r="BZ20" s="73">
        <v>10.17</v>
      </c>
      <c r="CA20" s="60">
        <v>17.79</v>
      </c>
      <c r="CB20" s="60">
        <v>15.7</v>
      </c>
      <c r="CC20" s="60">
        <v>7.8</v>
      </c>
      <c r="CD20" s="65">
        <f t="shared" si="11"/>
        <v>76.696165191740405</v>
      </c>
      <c r="CE20" s="60">
        <v>0</v>
      </c>
      <c r="CF20" s="79">
        <f t="shared" si="12"/>
        <v>115.45677499999998</v>
      </c>
      <c r="CG20" s="71">
        <v>10.18</v>
      </c>
      <c r="CH20" s="60">
        <v>16.16</v>
      </c>
      <c r="CI20" s="60">
        <v>15.7</v>
      </c>
      <c r="CJ20" s="60">
        <v>5.24</v>
      </c>
      <c r="CK20" s="59">
        <f t="shared" si="13"/>
        <v>51.47347740667977</v>
      </c>
      <c r="CL20" s="60">
        <v>1</v>
      </c>
      <c r="CM20" s="72">
        <f t="shared" si="14"/>
        <v>82.676699999999997</v>
      </c>
      <c r="CN20" s="81">
        <f t="shared" si="15"/>
        <v>1</v>
      </c>
      <c r="CO20" s="59">
        <f t="shared" si="16"/>
        <v>59.200800999999998</v>
      </c>
      <c r="CP20" s="59">
        <f t="shared" si="17"/>
        <v>1</v>
      </c>
      <c r="CQ20" s="59">
        <f t="shared" si="18"/>
        <v>24.492701999999998</v>
      </c>
      <c r="CR20" s="59">
        <f>IF(AV20&gt;0,'Look Ups'!$L$3,0)</f>
        <v>1</v>
      </c>
      <c r="CS20" s="59">
        <f t="shared" si="19"/>
        <v>0</v>
      </c>
      <c r="CT20" s="59">
        <f t="shared" si="20"/>
        <v>0</v>
      </c>
      <c r="CU20" s="59">
        <f t="shared" si="21"/>
        <v>0</v>
      </c>
      <c r="CV20" s="79">
        <f t="shared" si="22"/>
        <v>0</v>
      </c>
      <c r="CW20" s="82" t="str">
        <f t="shared" si="23"/>
        <v>valid</v>
      </c>
      <c r="CX20" s="65" t="str">
        <f t="shared" si="24"/>
        <v>valid</v>
      </c>
      <c r="CY20" s="66" t="str">
        <f t="shared" si="25"/>
        <v>MGScrSp</v>
      </c>
      <c r="CZ20" s="81">
        <f t="shared" si="26"/>
        <v>83.693502999999993</v>
      </c>
      <c r="DA20" s="59">
        <f t="shared" si="27"/>
        <v>27.289221899999994</v>
      </c>
      <c r="DB20" s="59">
        <f t="shared" si="28"/>
        <v>20.364399299999999</v>
      </c>
      <c r="DC20" s="59">
        <f t="shared" si="29"/>
        <v>26.834401534999994</v>
      </c>
      <c r="DD20" s="59">
        <f t="shared" si="30"/>
        <v>3.2001198900000003</v>
      </c>
      <c r="DE20" s="79">
        <f t="shared" si="31"/>
        <v>87.441977691999995</v>
      </c>
      <c r="DF20" s="83">
        <f t="shared" si="32"/>
        <v>113.72802442499999</v>
      </c>
      <c r="DG20" s="412"/>
    </row>
    <row r="21" spans="2:153" ht="16.5" customHeight="1" x14ac:dyDescent="0.25">
      <c r="B21" s="418"/>
      <c r="C21" s="414" t="s">
        <v>202</v>
      </c>
      <c r="D21" s="84" t="s">
        <v>203</v>
      </c>
      <c r="E21" s="49" t="s">
        <v>1066</v>
      </c>
      <c r="F21" s="415">
        <f t="shared" si="0"/>
        <v>1.1450150363027467</v>
      </c>
      <c r="G21" s="415" t="str">
        <f t="shared" ca="1" si="1"/>
        <v>Yes</v>
      </c>
      <c r="H21" s="51" t="str">
        <f t="shared" si="2"/>
        <v>Main - Genoa - Screacher</v>
      </c>
      <c r="I21" s="52">
        <v>41487</v>
      </c>
      <c r="J21" s="52">
        <v>41551</v>
      </c>
      <c r="K21" s="53" t="s">
        <v>205</v>
      </c>
      <c r="L21" s="53" t="s">
        <v>137</v>
      </c>
      <c r="M21" s="54"/>
      <c r="N21" s="75" t="s">
        <v>149</v>
      </c>
      <c r="O21" s="75"/>
      <c r="P21" s="85"/>
      <c r="Q21" s="57">
        <v>8.5</v>
      </c>
      <c r="R21" s="58"/>
      <c r="S21" s="59">
        <f t="shared" si="3"/>
        <v>0.21250000000000002</v>
      </c>
      <c r="T21" s="60"/>
      <c r="U21" s="60"/>
      <c r="V21" s="61">
        <f t="shared" si="33"/>
        <v>8.5</v>
      </c>
      <c r="W21" s="62">
        <f>IF(RL&gt;0,IF(RL&gt;'Look Ups'!R$7,'Look Ups'!R$8,('Look Ups'!R$3*RL^3+'Look Ups'!R$4*RL^2+'Look Ups'!R$5*RL+'Look Ups'!R$6)),0)</f>
        <v>0.29536612500000003</v>
      </c>
      <c r="X21" s="63">
        <v>650</v>
      </c>
      <c r="Y21" s="289"/>
      <c r="Z21" s="257"/>
      <c r="AA21" s="257"/>
      <c r="AB21" s="290">
        <f t="shared" si="4"/>
        <v>650</v>
      </c>
      <c r="AC21" s="66">
        <f t="shared" si="5"/>
        <v>650</v>
      </c>
      <c r="AD21" s="67" t="s">
        <v>129</v>
      </c>
      <c r="AE21" s="68" t="s">
        <v>130</v>
      </c>
      <c r="AF21" s="69" t="s">
        <v>131</v>
      </c>
      <c r="AG21" s="70">
        <f>IF(C21="",0,VLOOKUP(AD21,'Look Ups'!$B$3:$C$6,2,0)*VLOOKUP(AE21,'Look Ups'!$E$3:$F$5,2,0)*VLOOKUP(AF21,'Look Ups'!$H$3:$I$7,2,0))</f>
        <v>1</v>
      </c>
      <c r="AH21" s="71">
        <v>12.82</v>
      </c>
      <c r="AI21" s="60">
        <v>12.14</v>
      </c>
      <c r="AJ21" s="60">
        <v>3.46</v>
      </c>
      <c r="AK21" s="60">
        <v>1.9500000000000002</v>
      </c>
      <c r="AL21" s="60">
        <v>0.28999999999999998</v>
      </c>
      <c r="AM21" s="60">
        <v>12.51</v>
      </c>
      <c r="AN21" s="60">
        <v>0.2</v>
      </c>
      <c r="AO21" s="60">
        <v>3.68</v>
      </c>
      <c r="AP21" s="60">
        <v>0.04</v>
      </c>
      <c r="AQ21" s="60">
        <v>0.53</v>
      </c>
      <c r="AR21" s="60" t="s">
        <v>132</v>
      </c>
      <c r="AS21" s="75"/>
      <c r="AT21" s="59">
        <f t="shared" si="6"/>
        <v>12.549999999999999</v>
      </c>
      <c r="AU21" s="59">
        <f t="shared" si="7"/>
        <v>2.4863625000000003</v>
      </c>
      <c r="AV21" s="72">
        <f>IF(C21="",0,(0.5*(_ML1*LPM)+0.5*(_ML1*HB)+0.66*(P*PR)+0.66*(_ML2*RDM)+0.66*(E*ER))*VLOOKUP(BATT,'Look Ups'!$N$3:$O$4,2,0))</f>
        <v>38.750168000000002</v>
      </c>
      <c r="AW21" s="73"/>
      <c r="AX21" s="74"/>
      <c r="AY21" s="71">
        <v>9.44</v>
      </c>
      <c r="AZ21" s="60">
        <v>2.31</v>
      </c>
      <c r="BA21" s="60">
        <v>2.5099999999999998</v>
      </c>
      <c r="BB21" s="60">
        <v>0.06</v>
      </c>
      <c r="BC21" s="60">
        <v>8.7200000000000006</v>
      </c>
      <c r="BD21" s="60">
        <v>8.67</v>
      </c>
      <c r="BE21" s="60">
        <v>0.38</v>
      </c>
      <c r="BF21" s="60">
        <v>0.08</v>
      </c>
      <c r="BG21" s="60">
        <v>0</v>
      </c>
      <c r="BH21" s="75"/>
      <c r="BI21" s="72">
        <f t="shared" si="8"/>
        <v>13.117172000000002</v>
      </c>
      <c r="BJ21" s="76"/>
      <c r="BK21" s="77"/>
      <c r="BL21" s="78"/>
      <c r="BM21" s="78"/>
      <c r="BN21" s="77"/>
      <c r="BO21" s="78"/>
      <c r="BP21" s="78"/>
      <c r="BQ21" s="79">
        <f t="shared" si="9"/>
        <v>0</v>
      </c>
      <c r="BR21" s="80"/>
      <c r="BS21" s="77"/>
      <c r="BT21" s="77"/>
      <c r="BU21" s="77"/>
      <c r="BV21" s="77"/>
      <c r="BW21" s="77"/>
      <c r="BX21" s="77"/>
      <c r="BY21" s="72">
        <f t="shared" si="10"/>
        <v>0</v>
      </c>
      <c r="BZ21" s="73"/>
      <c r="CA21" s="60"/>
      <c r="CB21" s="60"/>
      <c r="CC21" s="60"/>
      <c r="CD21" s="65" t="str">
        <f t="shared" si="11"/>
        <v/>
      </c>
      <c r="CE21" s="75"/>
      <c r="CF21" s="79">
        <f t="shared" si="12"/>
        <v>0</v>
      </c>
      <c r="CG21" s="71">
        <v>8.06</v>
      </c>
      <c r="CH21" s="60">
        <v>12.34</v>
      </c>
      <c r="CI21" s="60">
        <v>11.83</v>
      </c>
      <c r="CJ21" s="60">
        <v>4.04</v>
      </c>
      <c r="CK21" s="59">
        <f t="shared" si="13"/>
        <v>50.124069478908183</v>
      </c>
      <c r="CL21" s="75"/>
      <c r="CM21" s="72">
        <f t="shared" si="14"/>
        <v>48.783116666666672</v>
      </c>
      <c r="CN21" s="81">
        <f t="shared" si="15"/>
        <v>1</v>
      </c>
      <c r="CO21" s="59">
        <f t="shared" si="16"/>
        <v>41.236530500000001</v>
      </c>
      <c r="CP21" s="59">
        <f t="shared" si="17"/>
        <v>1</v>
      </c>
      <c r="CQ21" s="59">
        <f t="shared" si="18"/>
        <v>13.117172000000002</v>
      </c>
      <c r="CR21" s="59">
        <f>IF(AV21&gt;0,'Look Ups'!$L$3,0)</f>
        <v>1</v>
      </c>
      <c r="CS21" s="59">
        <f t="shared" si="19"/>
        <v>0</v>
      </c>
      <c r="CT21" s="59">
        <f t="shared" si="20"/>
        <v>0</v>
      </c>
      <c r="CU21" s="59">
        <f t="shared" si="21"/>
        <v>0</v>
      </c>
      <c r="CV21" s="79">
        <f t="shared" si="22"/>
        <v>0</v>
      </c>
      <c r="CW21" s="82" t="str">
        <f t="shared" si="23"/>
        <v>valid</v>
      </c>
      <c r="CX21" s="65" t="str">
        <f t="shared" si="24"/>
        <v>-</v>
      </c>
      <c r="CY21" s="66" t="str">
        <f t="shared" si="25"/>
        <v>MGScr</v>
      </c>
      <c r="CZ21" s="81">
        <f t="shared" si="26"/>
        <v>54.353702500000004</v>
      </c>
      <c r="DA21" s="59">
        <f t="shared" si="27"/>
        <v>0</v>
      </c>
      <c r="DB21" s="59">
        <f t="shared" si="28"/>
        <v>12.483080633333334</v>
      </c>
      <c r="DC21" s="59">
        <f t="shared" si="29"/>
        <v>0</v>
      </c>
      <c r="DD21" s="59">
        <f t="shared" si="30"/>
        <v>1.9616269566666669</v>
      </c>
      <c r="DE21" s="79">
        <f t="shared" si="31"/>
        <v>57.390593218000006</v>
      </c>
      <c r="DF21" s="83">
        <f t="shared" si="32"/>
        <v>66.836783133333341</v>
      </c>
      <c r="DG21" s="412"/>
    </row>
    <row r="22" spans="2:153" ht="16.5" customHeight="1" x14ac:dyDescent="0.25">
      <c r="B22" s="414"/>
      <c r="C22" s="414" t="s">
        <v>213</v>
      </c>
      <c r="D22" s="48" t="s">
        <v>214</v>
      </c>
      <c r="E22" s="49" t="s">
        <v>215</v>
      </c>
      <c r="F22" s="415">
        <f t="shared" si="0"/>
        <v>1.0591950826310488</v>
      </c>
      <c r="G22" s="415" t="str">
        <f t="shared" ca="1" si="1"/>
        <v>No</v>
      </c>
      <c r="H22" s="51" t="str">
        <f t="shared" si="2"/>
        <v>Main - Genoa - Screacher</v>
      </c>
      <c r="I22" s="52">
        <v>41294</v>
      </c>
      <c r="J22" s="52">
        <v>44125</v>
      </c>
      <c r="K22" s="53" t="s">
        <v>1002</v>
      </c>
      <c r="L22" s="53" t="s">
        <v>299</v>
      </c>
      <c r="M22" s="54"/>
      <c r="N22" s="75" t="s">
        <v>127</v>
      </c>
      <c r="O22" s="75" t="s">
        <v>128</v>
      </c>
      <c r="P22" s="56"/>
      <c r="Q22" s="57">
        <v>10.07</v>
      </c>
      <c r="R22" s="58"/>
      <c r="S22" s="59">
        <f t="shared" si="3"/>
        <v>0.25175000000000003</v>
      </c>
      <c r="T22" s="60">
        <v>0</v>
      </c>
      <c r="U22" s="60">
        <v>0</v>
      </c>
      <c r="V22" s="61">
        <f t="shared" si="33"/>
        <v>10.07</v>
      </c>
      <c r="W22" s="62">
        <f>IF(RL&gt;0,IF(RL&gt;'Look Ups'!R$7,'Look Ups'!R$8,('Look Ups'!R$3*RL^3+'Look Ups'!R$4*RL^2+'Look Ups'!R$5*RL+'Look Ups'!R$6)),0)</f>
        <v>0.29859600231900002</v>
      </c>
      <c r="X22" s="63">
        <v>1583</v>
      </c>
      <c r="Y22" s="289"/>
      <c r="Z22" s="257"/>
      <c r="AA22" s="257"/>
      <c r="AB22" s="290">
        <f t="shared" si="4"/>
        <v>1583</v>
      </c>
      <c r="AC22" s="66">
        <f t="shared" si="5"/>
        <v>1583</v>
      </c>
      <c r="AD22" s="67" t="s">
        <v>129</v>
      </c>
      <c r="AE22" s="68" t="s">
        <v>130</v>
      </c>
      <c r="AF22" s="69" t="s">
        <v>131</v>
      </c>
      <c r="AG22" s="70">
        <f>IF(C22="",0,VLOOKUP(AD22,'Look Ups'!$B$3:$C$6,2,0)*VLOOKUP(AE22,'Look Ups'!$E$3:$F$5,2,0)*VLOOKUP(AF22,'Look Ups'!$H$3:$I$7,2,0))</f>
        <v>1</v>
      </c>
      <c r="AH22" s="71">
        <v>15.1</v>
      </c>
      <c r="AI22" s="60">
        <v>14.81</v>
      </c>
      <c r="AJ22" s="60">
        <v>4.1500000000000004</v>
      </c>
      <c r="AK22" s="60">
        <v>1.68</v>
      </c>
      <c r="AL22" s="60">
        <v>0.23499999999999999</v>
      </c>
      <c r="AM22" s="60">
        <v>14.82</v>
      </c>
      <c r="AN22" s="60">
        <v>8.5000000000000006E-2</v>
      </c>
      <c r="AO22" s="60">
        <v>4.17</v>
      </c>
      <c r="AP22" s="60">
        <v>5.5E-2</v>
      </c>
      <c r="AQ22" s="60">
        <v>0.63</v>
      </c>
      <c r="AR22" s="60" t="s">
        <v>132</v>
      </c>
      <c r="AS22" s="75" t="s">
        <v>1036</v>
      </c>
      <c r="AT22" s="59">
        <f t="shared" si="6"/>
        <v>14.875</v>
      </c>
      <c r="AU22" s="59">
        <f t="shared" si="7"/>
        <v>3.5012250000000003</v>
      </c>
      <c r="AV22" s="72">
        <f>IF(C22="",0,(0.5*(_ML1*LPM)+0.5*(_ML1*HB)+0.66*(P*PR)+0.66*(_ML2*RDM)+0.66*(E*ER))*VLOOKUP(BATT,'Look Ups'!$N$3:$O$4,2,0))</f>
        <v>47.296303999999992</v>
      </c>
      <c r="AW22" s="73"/>
      <c r="AX22" s="74"/>
      <c r="AY22" s="71">
        <v>12.68</v>
      </c>
      <c r="AZ22" s="60">
        <v>3.4</v>
      </c>
      <c r="BA22" s="60">
        <v>3.76</v>
      </c>
      <c r="BB22" s="60">
        <v>0.13</v>
      </c>
      <c r="BC22" s="60">
        <v>11.49</v>
      </c>
      <c r="BD22" s="60">
        <v>0</v>
      </c>
      <c r="BE22" s="60">
        <v>0</v>
      </c>
      <c r="BF22" s="60">
        <v>7.0000000000000007E-2</v>
      </c>
      <c r="BG22" s="60">
        <v>0</v>
      </c>
      <c r="BH22" s="75" t="s">
        <v>1037</v>
      </c>
      <c r="BI22" s="72">
        <f t="shared" si="8"/>
        <v>22.409445999999996</v>
      </c>
      <c r="BJ22" s="76"/>
      <c r="BK22" s="77"/>
      <c r="BL22" s="78"/>
      <c r="BM22" s="78"/>
      <c r="BN22" s="77"/>
      <c r="BO22" s="78"/>
      <c r="BP22" s="78"/>
      <c r="BQ22" s="79">
        <f t="shared" si="9"/>
        <v>0</v>
      </c>
      <c r="BR22" s="80"/>
      <c r="BS22" s="77"/>
      <c r="BT22" s="77"/>
      <c r="BU22" s="77"/>
      <c r="BV22" s="77"/>
      <c r="BW22" s="77"/>
      <c r="BX22" s="77"/>
      <c r="BY22" s="72">
        <f t="shared" si="10"/>
        <v>0</v>
      </c>
      <c r="BZ22" s="73">
        <v>7.49</v>
      </c>
      <c r="CA22" s="60">
        <v>13.8</v>
      </c>
      <c r="CB22" s="60">
        <v>16.100000000000001</v>
      </c>
      <c r="CC22" s="60">
        <v>6.15</v>
      </c>
      <c r="CD22" s="65">
        <f t="shared" si="11"/>
        <v>82.10947930574099</v>
      </c>
      <c r="CE22" s="60" t="s">
        <v>1015</v>
      </c>
      <c r="CF22" s="79">
        <f t="shared" si="12"/>
        <v>79.957583333333346</v>
      </c>
      <c r="CG22" s="71">
        <v>10.08</v>
      </c>
      <c r="CH22" s="60">
        <v>17.11</v>
      </c>
      <c r="CI22" s="60">
        <v>15.72</v>
      </c>
      <c r="CJ22" s="60">
        <v>6.05</v>
      </c>
      <c r="CK22" s="59">
        <f t="shared" si="13"/>
        <v>60.019841269841265</v>
      </c>
      <c r="CL22" s="60" t="s">
        <v>1038</v>
      </c>
      <c r="CM22" s="72">
        <f t="shared" si="14"/>
        <v>93.784366666666671</v>
      </c>
      <c r="CN22" s="81">
        <f t="shared" si="15"/>
        <v>1</v>
      </c>
      <c r="CO22" s="59">
        <f t="shared" si="16"/>
        <v>50.79752899999999</v>
      </c>
      <c r="CP22" s="59">
        <f t="shared" si="17"/>
        <v>1</v>
      </c>
      <c r="CQ22" s="59">
        <f t="shared" si="18"/>
        <v>22.409445999999996</v>
      </c>
      <c r="CR22" s="59">
        <f>IF(AV22&gt;0,'Look Ups'!$L$3,0)</f>
        <v>1</v>
      </c>
      <c r="CS22" s="59">
        <f t="shared" si="19"/>
        <v>0</v>
      </c>
      <c r="CT22" s="59">
        <f t="shared" si="20"/>
        <v>0</v>
      </c>
      <c r="CU22" s="59">
        <f t="shared" si="21"/>
        <v>0</v>
      </c>
      <c r="CV22" s="79">
        <f t="shared" si="22"/>
        <v>0</v>
      </c>
      <c r="CW22" s="82" t="str">
        <f t="shared" si="23"/>
        <v>valid</v>
      </c>
      <c r="CX22" s="65">
        <f t="shared" si="24"/>
        <v>0</v>
      </c>
      <c r="CY22" s="66" t="str">
        <f t="shared" si="25"/>
        <v>MGScr</v>
      </c>
      <c r="CZ22" s="81">
        <f t="shared" si="26"/>
        <v>73.206974999999986</v>
      </c>
      <c r="DA22" s="59">
        <f t="shared" si="27"/>
        <v>17.264441200000004</v>
      </c>
      <c r="DB22" s="59">
        <f t="shared" si="28"/>
        <v>24.981222233333334</v>
      </c>
      <c r="DC22" s="59">
        <f t="shared" si="29"/>
        <v>16.976700513333338</v>
      </c>
      <c r="DD22" s="59">
        <f t="shared" si="30"/>
        <v>3.9256206366666668</v>
      </c>
      <c r="DE22" s="79">
        <f t="shared" si="31"/>
        <v>76.272887963999992</v>
      </c>
      <c r="DF22" s="83">
        <f t="shared" si="32"/>
        <v>98.188197233333312</v>
      </c>
      <c r="DG22" s="365"/>
    </row>
    <row r="23" spans="2:153" ht="16.75" customHeight="1" x14ac:dyDescent="0.25">
      <c r="B23" s="416"/>
      <c r="C23" s="414" t="s">
        <v>1107</v>
      </c>
      <c r="D23" s="48" t="s">
        <v>463</v>
      </c>
      <c r="E23" s="49" t="s">
        <v>464</v>
      </c>
      <c r="F23" s="415">
        <f t="shared" si="0"/>
        <v>0.72651201672231958</v>
      </c>
      <c r="G23" s="415" t="str">
        <f t="shared" ca="1" si="1"/>
        <v>Yes</v>
      </c>
      <c r="H23" s="51" t="str">
        <f t="shared" si="2"/>
        <v>Main - Genoa - Spinnaker</v>
      </c>
      <c r="I23" s="52">
        <v>42425</v>
      </c>
      <c r="J23" s="52">
        <v>42677</v>
      </c>
      <c r="K23" s="53" t="s">
        <v>299</v>
      </c>
      <c r="L23" s="53" t="s">
        <v>841</v>
      </c>
      <c r="M23" s="54"/>
      <c r="N23" s="55" t="s">
        <v>149</v>
      </c>
      <c r="O23" s="55"/>
      <c r="P23" s="86">
        <v>6.7</v>
      </c>
      <c r="Q23" s="57">
        <v>10.6</v>
      </c>
      <c r="R23" s="58"/>
      <c r="S23" s="59">
        <f t="shared" si="3"/>
        <v>0.26500000000000001</v>
      </c>
      <c r="T23" s="60">
        <v>0.31</v>
      </c>
      <c r="U23" s="60">
        <v>0</v>
      </c>
      <c r="V23" s="61">
        <f t="shared" si="33"/>
        <v>10.29</v>
      </c>
      <c r="W23" s="62">
        <f>IF(RL&gt;0,IF(RL&gt;'Look Ups'!R$7,'Look Ups'!R$8,('Look Ups'!R$3*RL^3+'Look Ups'!R$4*RL^2+'Look Ups'!R$5*RL+'Look Ups'!R$6)),0)</f>
        <v>0.29887232383700002</v>
      </c>
      <c r="X23" s="63">
        <v>4863</v>
      </c>
      <c r="Y23" s="289"/>
      <c r="Z23" s="257"/>
      <c r="AA23" s="257"/>
      <c r="AB23" s="290">
        <f t="shared" si="4"/>
        <v>4863</v>
      </c>
      <c r="AC23" s="66">
        <f t="shared" si="5"/>
        <v>4863</v>
      </c>
      <c r="AD23" s="67" t="s">
        <v>129</v>
      </c>
      <c r="AE23" s="68" t="s">
        <v>130</v>
      </c>
      <c r="AF23" s="69" t="s">
        <v>131</v>
      </c>
      <c r="AG23" s="70">
        <f>IF(C23="",0,VLOOKUP(AD23,'Look Ups'!$B$3:$C$6,2,0)*VLOOKUP(AE23,'Look Ups'!$E$3:$F$5,2,0)*VLOOKUP(AF23,'Look Ups'!$H$3:$I$7,2,0))</f>
        <v>1</v>
      </c>
      <c r="AH23" s="71">
        <v>12.89</v>
      </c>
      <c r="AI23" s="60">
        <v>12.41</v>
      </c>
      <c r="AJ23" s="60">
        <v>4.4800000000000004</v>
      </c>
      <c r="AK23" s="60">
        <v>1.25</v>
      </c>
      <c r="AL23" s="60">
        <v>0.79</v>
      </c>
      <c r="AM23" s="60">
        <v>12.5</v>
      </c>
      <c r="AN23" s="60">
        <v>0.185</v>
      </c>
      <c r="AO23" s="60">
        <v>4.68</v>
      </c>
      <c r="AP23" s="60">
        <v>0.02</v>
      </c>
      <c r="AQ23" s="60">
        <v>0</v>
      </c>
      <c r="AR23" s="60" t="s">
        <v>132</v>
      </c>
      <c r="AS23" s="75">
        <v>0</v>
      </c>
      <c r="AT23" s="59">
        <f t="shared" si="6"/>
        <v>12.52</v>
      </c>
      <c r="AU23" s="59">
        <f t="shared" si="7"/>
        <v>0</v>
      </c>
      <c r="AV23" s="72">
        <f>IF(C23="",0,(0.5*(_ML1*LPM)+0.5*(_ML1*HB)+0.66*(P*PR)+0.66*(_ML2*RDM)+0.66*(E*ER))*VLOOKUP(BATT,'Look Ups'!$N$3:$O$4,2,0))</f>
        <v>44.98845</v>
      </c>
      <c r="AW23" s="73"/>
      <c r="AX23" s="74"/>
      <c r="AY23" s="71">
        <v>12.3</v>
      </c>
      <c r="AZ23" s="60">
        <v>4.74</v>
      </c>
      <c r="BA23" s="60">
        <v>5.35</v>
      </c>
      <c r="BB23" s="60">
        <v>0.17</v>
      </c>
      <c r="BC23" s="60">
        <v>10.8</v>
      </c>
      <c r="BD23" s="60"/>
      <c r="BE23" s="60"/>
      <c r="BF23" s="60">
        <v>-0.23</v>
      </c>
      <c r="BG23" s="60">
        <v>-0.1</v>
      </c>
      <c r="BH23" s="75"/>
      <c r="BI23" s="72">
        <f t="shared" si="8"/>
        <v>27.30003</v>
      </c>
      <c r="BJ23" s="76"/>
      <c r="BK23" s="77"/>
      <c r="BL23" s="78"/>
      <c r="BM23" s="78"/>
      <c r="BN23" s="77"/>
      <c r="BO23" s="78"/>
      <c r="BP23" s="78"/>
      <c r="BQ23" s="79">
        <f t="shared" si="9"/>
        <v>0</v>
      </c>
      <c r="BR23" s="80"/>
      <c r="BS23" s="77"/>
      <c r="BT23" s="77"/>
      <c r="BU23" s="77"/>
      <c r="BV23" s="77"/>
      <c r="BW23" s="77"/>
      <c r="BX23" s="77"/>
      <c r="BY23" s="72">
        <f t="shared" si="10"/>
        <v>0</v>
      </c>
      <c r="BZ23" s="73">
        <v>9.0500000000000007</v>
      </c>
      <c r="CA23" s="60">
        <v>12.52</v>
      </c>
      <c r="CB23" s="60">
        <v>12.52</v>
      </c>
      <c r="CC23" s="60">
        <v>9.5</v>
      </c>
      <c r="CD23" s="65">
        <f t="shared" si="11"/>
        <v>104.97237569060773</v>
      </c>
      <c r="CE23" s="60">
        <v>0</v>
      </c>
      <c r="CF23" s="79">
        <f t="shared" si="12"/>
        <v>98.177666666666667</v>
      </c>
      <c r="CG23" s="71"/>
      <c r="CH23" s="60"/>
      <c r="CI23" s="60"/>
      <c r="CJ23" s="60"/>
      <c r="CK23" s="59" t="str">
        <f t="shared" si="13"/>
        <v/>
      </c>
      <c r="CL23" s="60">
        <v>0</v>
      </c>
      <c r="CM23" s="72">
        <f t="shared" si="14"/>
        <v>0</v>
      </c>
      <c r="CN23" s="81">
        <f t="shared" si="15"/>
        <v>1</v>
      </c>
      <c r="CO23" s="59">
        <f t="shared" si="16"/>
        <v>44.98845</v>
      </c>
      <c r="CP23" s="59">
        <f t="shared" si="17"/>
        <v>1</v>
      </c>
      <c r="CQ23" s="59">
        <f t="shared" si="18"/>
        <v>27.30003</v>
      </c>
      <c r="CR23" s="59">
        <f>IF(AV23&gt;0,'Look Ups'!$L$3,0)</f>
        <v>1</v>
      </c>
      <c r="CS23" s="59">
        <f t="shared" si="19"/>
        <v>0</v>
      </c>
      <c r="CT23" s="59">
        <f t="shared" si="20"/>
        <v>0</v>
      </c>
      <c r="CU23" s="59">
        <f t="shared" si="21"/>
        <v>0</v>
      </c>
      <c r="CV23" s="79">
        <f t="shared" si="22"/>
        <v>0</v>
      </c>
      <c r="CW23" s="82" t="str">
        <f t="shared" si="23"/>
        <v>-</v>
      </c>
      <c r="CX23" s="65" t="str">
        <f t="shared" si="24"/>
        <v>valid</v>
      </c>
      <c r="CY23" s="66" t="str">
        <f t="shared" si="25"/>
        <v>MGSp</v>
      </c>
      <c r="CZ23" s="81">
        <f t="shared" si="26"/>
        <v>72.288479999999993</v>
      </c>
      <c r="DA23" s="59">
        <f t="shared" si="27"/>
        <v>21.263290999999999</v>
      </c>
      <c r="DB23" s="59">
        <f t="shared" si="28"/>
        <v>0</v>
      </c>
      <c r="DC23" s="59">
        <f t="shared" si="29"/>
        <v>20.908902816666664</v>
      </c>
      <c r="DD23" s="59">
        <f t="shared" si="30"/>
        <v>0</v>
      </c>
      <c r="DE23" s="79">
        <f t="shared" si="31"/>
        <v>74.198829359999991</v>
      </c>
      <c r="DF23" s="83">
        <f t="shared" si="32"/>
        <v>93.551770999999988</v>
      </c>
      <c r="DG23" s="412"/>
    </row>
    <row r="24" spans="2:153" ht="16.5" customHeight="1" x14ac:dyDescent="0.25">
      <c r="B24" s="413"/>
      <c r="C24" s="414" t="s">
        <v>1032</v>
      </c>
      <c r="D24" s="48" t="s">
        <v>1033</v>
      </c>
      <c r="E24" s="49" t="s">
        <v>899</v>
      </c>
      <c r="F24" s="415">
        <f t="shared" si="0"/>
        <v>1.2131065139785622</v>
      </c>
      <c r="G24" s="415" t="str">
        <f t="shared" ca="1" si="1"/>
        <v>Yes</v>
      </c>
      <c r="H24" s="51" t="str">
        <f t="shared" si="2"/>
        <v>Main - Genoa - Screacher - Spinnaker</v>
      </c>
      <c r="I24" s="52">
        <v>44049</v>
      </c>
      <c r="J24" s="52">
        <v>44419</v>
      </c>
      <c r="K24" s="53" t="s">
        <v>904</v>
      </c>
      <c r="L24" s="53" t="s">
        <v>299</v>
      </c>
      <c r="M24" s="54"/>
      <c r="N24" s="75" t="s">
        <v>149</v>
      </c>
      <c r="O24" s="75"/>
      <c r="P24" s="56"/>
      <c r="Q24" s="57">
        <v>8.99</v>
      </c>
      <c r="R24" s="58"/>
      <c r="S24" s="59">
        <f t="shared" si="3"/>
        <v>0.22475000000000001</v>
      </c>
      <c r="T24" s="60">
        <v>0</v>
      </c>
      <c r="U24" s="60">
        <v>0</v>
      </c>
      <c r="V24" s="61">
        <f t="shared" si="33"/>
        <v>8.99</v>
      </c>
      <c r="W24" s="62">
        <f>IF(RL&gt;0,IF(RL&gt;'Look Ups'!R$7,'Look Ups'!R$8,('Look Ups'!R$3*RL^3+'Look Ups'!R$4*RL^2+'Look Ups'!R$5*RL+'Look Ups'!R$6)),0)</f>
        <v>0.29663375906700001</v>
      </c>
      <c r="X24" s="63">
        <v>820</v>
      </c>
      <c r="Y24" s="289"/>
      <c r="Z24" s="257"/>
      <c r="AA24" s="257"/>
      <c r="AB24" s="290">
        <f t="shared" si="4"/>
        <v>820</v>
      </c>
      <c r="AC24" s="66">
        <f t="shared" si="5"/>
        <v>820</v>
      </c>
      <c r="AD24" s="67" t="s">
        <v>129</v>
      </c>
      <c r="AE24" s="68" t="s">
        <v>130</v>
      </c>
      <c r="AF24" s="69" t="s">
        <v>131</v>
      </c>
      <c r="AG24" s="70">
        <f>IF(C24="",0,VLOOKUP(AD24,'Look Ups'!$B$3:$C$6,2,0)*VLOOKUP(AE24,'Look Ups'!$E$3:$F$5,2,0)*VLOOKUP(AF24,'Look Ups'!$H$3:$I$7,2,0))</f>
        <v>1</v>
      </c>
      <c r="AH24" s="71">
        <v>14.68</v>
      </c>
      <c r="AI24" s="60">
        <v>14.42</v>
      </c>
      <c r="AJ24" s="60">
        <v>4.01</v>
      </c>
      <c r="AK24" s="60">
        <v>2.0699999999999998</v>
      </c>
      <c r="AL24" s="60">
        <v>0.11</v>
      </c>
      <c r="AM24" s="60">
        <v>14.61</v>
      </c>
      <c r="AN24" s="60">
        <v>0.12</v>
      </c>
      <c r="AO24" s="60">
        <v>4.05</v>
      </c>
      <c r="AP24" s="60">
        <v>0.04</v>
      </c>
      <c r="AQ24" s="60">
        <v>0.6</v>
      </c>
      <c r="AR24" s="60" t="s">
        <v>132</v>
      </c>
      <c r="AS24" s="75"/>
      <c r="AT24" s="59">
        <f t="shared" si="6"/>
        <v>14.649999999999999</v>
      </c>
      <c r="AU24" s="59">
        <f t="shared" si="7"/>
        <v>3.2872499999999998</v>
      </c>
      <c r="AV24" s="72">
        <f>IF(C24="",0,(0.5*(_ML1*LPM)+0.5*(_ML1*HB)+0.66*(P*PR)+0.66*(_ML2*RDM)+0.66*(E*ER))*VLOOKUP(BATT,'Look Ups'!$N$3:$O$4,2,0))</f>
        <v>46.938123999999995</v>
      </c>
      <c r="AW24" s="73"/>
      <c r="AX24" s="74"/>
      <c r="AY24" s="71">
        <v>10.78</v>
      </c>
      <c r="AZ24" s="60">
        <v>3.18</v>
      </c>
      <c r="BA24" s="60">
        <v>3.39</v>
      </c>
      <c r="BB24" s="60">
        <v>0.13</v>
      </c>
      <c r="BC24" s="60">
        <v>10.17</v>
      </c>
      <c r="BD24" s="60">
        <v>9.6199999999999992</v>
      </c>
      <c r="BE24" s="60">
        <v>0.36</v>
      </c>
      <c r="BF24" s="60">
        <v>-7.0000000000000007E-2</v>
      </c>
      <c r="BG24" s="60">
        <v>-0.04</v>
      </c>
      <c r="BH24" s="75"/>
      <c r="BI24" s="72">
        <f t="shared" si="8"/>
        <v>18.532626</v>
      </c>
      <c r="BJ24" s="76"/>
      <c r="BK24" s="77"/>
      <c r="BL24" s="78"/>
      <c r="BM24" s="78"/>
      <c r="BN24" s="77"/>
      <c r="BO24" s="78"/>
      <c r="BP24" s="78"/>
      <c r="BQ24" s="79">
        <f t="shared" si="9"/>
        <v>0</v>
      </c>
      <c r="BR24" s="80"/>
      <c r="BS24" s="77"/>
      <c r="BT24" s="77"/>
      <c r="BU24" s="77"/>
      <c r="BV24" s="77"/>
      <c r="BW24" s="77"/>
      <c r="BX24" s="77"/>
      <c r="BY24" s="72">
        <f t="shared" si="10"/>
        <v>0</v>
      </c>
      <c r="BZ24" s="73">
        <v>7.5</v>
      </c>
      <c r="CA24" s="60">
        <v>15.68</v>
      </c>
      <c r="CB24" s="60">
        <v>14.52</v>
      </c>
      <c r="CC24" s="60">
        <v>6.28</v>
      </c>
      <c r="CD24" s="65">
        <f t="shared" si="11"/>
        <v>83.733333333333334</v>
      </c>
      <c r="CE24" s="60"/>
      <c r="CF24" s="79">
        <f t="shared" si="12"/>
        <v>82.093666666666664</v>
      </c>
      <c r="CG24" s="71">
        <v>6.05</v>
      </c>
      <c r="CH24" s="60">
        <v>15</v>
      </c>
      <c r="CI24" s="60">
        <v>13.44</v>
      </c>
      <c r="CJ24" s="60">
        <v>3.04</v>
      </c>
      <c r="CK24" s="59">
        <f t="shared" si="13"/>
        <v>50.247933884297524</v>
      </c>
      <c r="CL24" s="60"/>
      <c r="CM24" s="72">
        <f t="shared" si="14"/>
        <v>43.157699999999998</v>
      </c>
      <c r="CN24" s="81">
        <f t="shared" si="15"/>
        <v>1</v>
      </c>
      <c r="CO24" s="59">
        <f t="shared" si="16"/>
        <v>50.225374000000002</v>
      </c>
      <c r="CP24" s="59">
        <f t="shared" si="17"/>
        <v>1</v>
      </c>
      <c r="CQ24" s="59">
        <f t="shared" si="18"/>
        <v>18.532626</v>
      </c>
      <c r="CR24" s="59">
        <f>IF(AV24&gt;0,'Look Ups'!$L$3,0)</f>
        <v>1</v>
      </c>
      <c r="CS24" s="59">
        <f t="shared" si="19"/>
        <v>0</v>
      </c>
      <c r="CT24" s="59">
        <f t="shared" si="20"/>
        <v>0</v>
      </c>
      <c r="CU24" s="59">
        <f t="shared" si="21"/>
        <v>0</v>
      </c>
      <c r="CV24" s="79">
        <f t="shared" si="22"/>
        <v>0</v>
      </c>
      <c r="CW24" s="82" t="str">
        <f t="shared" si="23"/>
        <v>valid</v>
      </c>
      <c r="CX24" s="65" t="str">
        <f t="shared" si="24"/>
        <v>valid</v>
      </c>
      <c r="CY24" s="66" t="str">
        <f t="shared" si="25"/>
        <v>MGScrSp</v>
      </c>
      <c r="CZ24" s="81">
        <f t="shared" si="26"/>
        <v>68.75800000000001</v>
      </c>
      <c r="DA24" s="59">
        <f t="shared" si="27"/>
        <v>19.068312199999998</v>
      </c>
      <c r="DB24" s="59">
        <f t="shared" si="28"/>
        <v>8.6187758999999993</v>
      </c>
      <c r="DC24" s="59">
        <f t="shared" si="29"/>
        <v>18.750506996666665</v>
      </c>
      <c r="DD24" s="59">
        <f t="shared" si="30"/>
        <v>1.3543790699999998</v>
      </c>
      <c r="DE24" s="79">
        <f t="shared" si="31"/>
        <v>72.180816784000015</v>
      </c>
      <c r="DF24" s="83">
        <f t="shared" si="32"/>
        <v>88.862886066666675</v>
      </c>
      <c r="DG24" s="412"/>
    </row>
    <row r="25" spans="2:153" ht="16.5" customHeight="1" x14ac:dyDescent="0.25">
      <c r="B25" s="414"/>
      <c r="C25" s="414" t="s">
        <v>220</v>
      </c>
      <c r="D25" s="84" t="s">
        <v>158</v>
      </c>
      <c r="E25" s="435" t="s">
        <v>204</v>
      </c>
      <c r="F25" s="415">
        <f t="shared" si="0"/>
        <v>0.88265744581687788</v>
      </c>
      <c r="G25" s="415" t="str">
        <f t="shared" ca="1" si="1"/>
        <v>Yes</v>
      </c>
      <c r="H25" s="51" t="str">
        <f t="shared" si="2"/>
        <v>Main - Genoa - Screacher - Spinnaker</v>
      </c>
      <c r="I25" s="52">
        <v>43186</v>
      </c>
      <c r="J25" s="52">
        <v>43186</v>
      </c>
      <c r="K25" s="53" t="s">
        <v>187</v>
      </c>
      <c r="L25" s="53" t="s">
        <v>841</v>
      </c>
      <c r="M25" s="54"/>
      <c r="N25" s="75" t="s">
        <v>149</v>
      </c>
      <c r="O25" s="75"/>
      <c r="P25" s="85"/>
      <c r="Q25" s="57">
        <v>15.85</v>
      </c>
      <c r="R25" s="58"/>
      <c r="S25" s="59">
        <f t="shared" si="3"/>
        <v>0.39624999999999999</v>
      </c>
      <c r="T25" s="60"/>
      <c r="U25" s="60"/>
      <c r="V25" s="61">
        <f t="shared" si="33"/>
        <v>15.85</v>
      </c>
      <c r="W25" s="62">
        <f>IF(RL&gt;0,IF(RL&gt;'Look Ups'!R$7,'Look Ups'!R$8,('Look Ups'!R$3*RL^3+'Look Ups'!R$4*RL^2+'Look Ups'!R$5*RL+'Look Ups'!R$6)),0)</f>
        <v>0.3</v>
      </c>
      <c r="X25" s="63">
        <v>8285</v>
      </c>
      <c r="Y25" s="64"/>
      <c r="Z25" s="437"/>
      <c r="AA25" s="431"/>
      <c r="AB25" s="290">
        <f t="shared" si="4"/>
        <v>8285</v>
      </c>
      <c r="AC25" s="66">
        <f t="shared" si="5"/>
        <v>8285</v>
      </c>
      <c r="AD25" s="67" t="s">
        <v>129</v>
      </c>
      <c r="AE25" s="68" t="s">
        <v>130</v>
      </c>
      <c r="AF25" s="69" t="s">
        <v>161</v>
      </c>
      <c r="AG25" s="70">
        <f>IF(C25="",0,VLOOKUP(AD25,'Look Ups'!$B$3:$C$6,2,0)*VLOOKUP(AE25,'Look Ups'!$E$3:$F$5,2,0)*VLOOKUP(AF25,'Look Ups'!$H$3:$I$7,2,0))</f>
        <v>0.99</v>
      </c>
      <c r="AH25" s="71">
        <v>19.670000000000002</v>
      </c>
      <c r="AI25" s="60">
        <v>19.36</v>
      </c>
      <c r="AJ25" s="60">
        <v>4.9000000000000004</v>
      </c>
      <c r="AK25" s="60">
        <v>1.9300000000000002</v>
      </c>
      <c r="AL25" s="60">
        <v>0.72</v>
      </c>
      <c r="AM25" s="60">
        <v>19.5</v>
      </c>
      <c r="AN25" s="60">
        <v>0.17</v>
      </c>
      <c r="AO25" s="60">
        <v>4.99</v>
      </c>
      <c r="AP25" s="60">
        <v>0.02</v>
      </c>
      <c r="AQ25" s="60"/>
      <c r="AR25" s="60" t="s">
        <v>132</v>
      </c>
      <c r="AS25" s="75"/>
      <c r="AT25" s="59">
        <f t="shared" si="6"/>
        <v>19.52</v>
      </c>
      <c r="AU25" s="59">
        <f t="shared" si="7"/>
        <v>0</v>
      </c>
      <c r="AV25" s="72">
        <f>IF(C25="",0,(0.5*(_ML1*LPM)+0.5*(_ML1*HB)+0.66*(P*PR)+0.66*(_ML2*RDM)+0.66*(E*ER))*VLOOKUP(BATT,'Look Ups'!$N$3:$O$4,2,0))</f>
        <v>78.626689999999996</v>
      </c>
      <c r="AW25" s="73"/>
      <c r="AX25" s="74"/>
      <c r="AY25" s="71">
        <v>17.73</v>
      </c>
      <c r="AZ25" s="60">
        <v>6.15</v>
      </c>
      <c r="BA25" s="60">
        <v>7.13</v>
      </c>
      <c r="BB25" s="60">
        <v>0.5</v>
      </c>
      <c r="BC25" s="60">
        <v>15.37</v>
      </c>
      <c r="BD25" s="60"/>
      <c r="BE25" s="60"/>
      <c r="BF25" s="60">
        <v>-0.05</v>
      </c>
      <c r="BG25" s="60">
        <v>-7.0000000000000007E-2</v>
      </c>
      <c r="BH25" s="75"/>
      <c r="BI25" s="72">
        <f t="shared" si="8"/>
        <v>55.546314000000002</v>
      </c>
      <c r="BJ25" s="76"/>
      <c r="BK25" s="77"/>
      <c r="BL25" s="78"/>
      <c r="BM25" s="78"/>
      <c r="BN25" s="77"/>
      <c r="BO25" s="78"/>
      <c r="BP25" s="78"/>
      <c r="BQ25" s="79">
        <f t="shared" si="9"/>
        <v>0</v>
      </c>
      <c r="BR25" s="80"/>
      <c r="BS25" s="77"/>
      <c r="BT25" s="77"/>
      <c r="BU25" s="77"/>
      <c r="BV25" s="77"/>
      <c r="BW25" s="77"/>
      <c r="BX25" s="77"/>
      <c r="BY25" s="72">
        <f t="shared" si="10"/>
        <v>0</v>
      </c>
      <c r="BZ25" s="73">
        <v>12.28</v>
      </c>
      <c r="CA25" s="60">
        <v>20.6</v>
      </c>
      <c r="CB25" s="60">
        <v>18.7</v>
      </c>
      <c r="CC25" s="60">
        <v>10.72</v>
      </c>
      <c r="CD25" s="65">
        <f t="shared" si="11"/>
        <v>87.296416938110752</v>
      </c>
      <c r="CE25" s="75"/>
      <c r="CF25" s="79">
        <f t="shared" si="12"/>
        <v>180.649</v>
      </c>
      <c r="CG25" s="71">
        <v>9.5299999999999994</v>
      </c>
      <c r="CH25" s="60">
        <v>19.600000000000001</v>
      </c>
      <c r="CI25" s="60">
        <v>15.8</v>
      </c>
      <c r="CJ25" s="60">
        <v>5.12</v>
      </c>
      <c r="CK25" s="59">
        <f t="shared" si="13"/>
        <v>53.725078698845749</v>
      </c>
      <c r="CL25" s="75"/>
      <c r="CM25" s="72">
        <f t="shared" si="14"/>
        <v>88.529500000000013</v>
      </c>
      <c r="CN25" s="81">
        <f t="shared" si="15"/>
        <v>1</v>
      </c>
      <c r="CO25" s="59">
        <f t="shared" si="16"/>
        <v>78.626689999999996</v>
      </c>
      <c r="CP25" s="59">
        <f t="shared" si="17"/>
        <v>1</v>
      </c>
      <c r="CQ25" s="59">
        <f t="shared" si="18"/>
        <v>55.546314000000002</v>
      </c>
      <c r="CR25" s="59">
        <f>IF(AV25&gt;0,'Look Ups'!$L$3,0)</f>
        <v>1</v>
      </c>
      <c r="CS25" s="59">
        <f t="shared" si="19"/>
        <v>0</v>
      </c>
      <c r="CT25" s="59">
        <f t="shared" si="20"/>
        <v>0</v>
      </c>
      <c r="CU25" s="59">
        <f t="shared" si="21"/>
        <v>0</v>
      </c>
      <c r="CV25" s="79">
        <f t="shared" si="22"/>
        <v>0</v>
      </c>
      <c r="CW25" s="82" t="str">
        <f t="shared" si="23"/>
        <v>valid</v>
      </c>
      <c r="CX25" s="65" t="str">
        <f t="shared" si="24"/>
        <v>valid</v>
      </c>
      <c r="CY25" s="66" t="str">
        <f t="shared" si="25"/>
        <v>MGScrSp</v>
      </c>
      <c r="CZ25" s="81">
        <f t="shared" si="26"/>
        <v>134.17300399999999</v>
      </c>
      <c r="DA25" s="59">
        <f t="shared" si="27"/>
        <v>37.530805800000003</v>
      </c>
      <c r="DB25" s="59">
        <f t="shared" si="28"/>
        <v>11.544115100000003</v>
      </c>
      <c r="DC25" s="59">
        <f t="shared" si="29"/>
        <v>36.905292369999998</v>
      </c>
      <c r="DD25" s="59">
        <f t="shared" si="30"/>
        <v>1.8140752300000005</v>
      </c>
      <c r="DE25" s="79">
        <f t="shared" si="31"/>
        <v>136.66568460799999</v>
      </c>
      <c r="DF25" s="83">
        <f t="shared" si="32"/>
        <v>172.89237159999999</v>
      </c>
      <c r="DG25" s="412"/>
    </row>
    <row r="26" spans="2:153" ht="16.5" customHeight="1" x14ac:dyDescent="0.25">
      <c r="B26" s="414"/>
      <c r="C26" s="414" t="s">
        <v>875</v>
      </c>
      <c r="D26" s="48" t="s">
        <v>530</v>
      </c>
      <c r="E26" s="430" t="s">
        <v>516</v>
      </c>
      <c r="F26" s="415">
        <f t="shared" si="0"/>
        <v>0.97750133661038996</v>
      </c>
      <c r="G26" s="415" t="str">
        <f t="shared" ca="1" si="1"/>
        <v>Yes</v>
      </c>
      <c r="H26" s="51" t="str">
        <f t="shared" si="2"/>
        <v>Main - Genoa - Screacher - Spinnaker</v>
      </c>
      <c r="I26" s="52">
        <v>42587</v>
      </c>
      <c r="J26" s="52">
        <v>42587</v>
      </c>
      <c r="K26" s="53" t="s">
        <v>171</v>
      </c>
      <c r="L26" s="53" t="s">
        <v>137</v>
      </c>
      <c r="M26" s="54"/>
      <c r="N26" s="55" t="s">
        <v>127</v>
      </c>
      <c r="O26" s="55"/>
      <c r="P26" s="56"/>
      <c r="Q26" s="57">
        <v>9.92</v>
      </c>
      <c r="R26" s="58"/>
      <c r="S26" s="59">
        <f t="shared" si="3"/>
        <v>0.248</v>
      </c>
      <c r="T26" s="60"/>
      <c r="U26" s="60"/>
      <c r="V26" s="61">
        <f t="shared" si="33"/>
        <v>9.92</v>
      </c>
      <c r="W26" s="62">
        <f>IF(RL&gt;0,IF(RL&gt;'Look Ups'!R$7,'Look Ups'!R$8,('Look Ups'!R$3*RL^3+'Look Ups'!R$4*RL^2+'Look Ups'!R$5*RL+'Look Ups'!R$6)),0)</f>
        <v>0.29838535910399999</v>
      </c>
      <c r="X26" s="63">
        <v>1985</v>
      </c>
      <c r="Y26" s="64"/>
      <c r="Z26" s="64"/>
      <c r="AA26" s="64"/>
      <c r="AB26" s="65">
        <f t="shared" si="4"/>
        <v>1985</v>
      </c>
      <c r="AC26" s="66">
        <f t="shared" si="5"/>
        <v>1985</v>
      </c>
      <c r="AD26" s="67" t="s">
        <v>129</v>
      </c>
      <c r="AE26" s="68" t="s">
        <v>130</v>
      </c>
      <c r="AF26" s="69" t="s">
        <v>131</v>
      </c>
      <c r="AG26" s="70">
        <f>IF(C26="",0,VLOOKUP(AD26,'Look Ups'!$B$3:$C$6,2,0)*VLOOKUP(AE26,'Look Ups'!$E$3:$F$5,2,0)*VLOOKUP(AF26,'Look Ups'!$H$3:$I$7,2,0))</f>
        <v>1</v>
      </c>
      <c r="AH26" s="71">
        <v>13.32</v>
      </c>
      <c r="AI26" s="60">
        <v>13.22</v>
      </c>
      <c r="AJ26" s="60">
        <v>4.07</v>
      </c>
      <c r="AK26" s="60">
        <v>1.75</v>
      </c>
      <c r="AL26" s="60">
        <v>0.16</v>
      </c>
      <c r="AM26" s="60">
        <v>13.38</v>
      </c>
      <c r="AN26" s="60">
        <v>0.17</v>
      </c>
      <c r="AO26" s="60">
        <v>4.12</v>
      </c>
      <c r="AP26" s="60">
        <v>0</v>
      </c>
      <c r="AQ26" s="60">
        <v>0.61</v>
      </c>
      <c r="AR26" s="60" t="s">
        <v>132</v>
      </c>
      <c r="AS26" s="75"/>
      <c r="AT26" s="59">
        <f t="shared" si="6"/>
        <v>13.38</v>
      </c>
      <c r="AU26" s="59">
        <f t="shared" si="7"/>
        <v>3.0606749999999998</v>
      </c>
      <c r="AV26" s="72">
        <f>IF(C26="",0,(0.5*(_ML1*LPM)+0.5*(_ML1*HB)+0.66*(P*PR)+0.66*(_ML2*RDM)+0.66*(E*ER))*VLOOKUP(BATT,'Look Ups'!$N$3:$O$4,2,0))</f>
        <v>41.658467999999999</v>
      </c>
      <c r="AW26" s="73"/>
      <c r="AX26" s="74"/>
      <c r="AY26" s="71">
        <v>11.32</v>
      </c>
      <c r="AZ26" s="60">
        <v>3.46</v>
      </c>
      <c r="BA26" s="60">
        <v>3.98</v>
      </c>
      <c r="BB26" s="60">
        <v>0.16</v>
      </c>
      <c r="BC26" s="60">
        <v>9.9</v>
      </c>
      <c r="BD26" s="60"/>
      <c r="BE26" s="60"/>
      <c r="BF26" s="60">
        <v>0.23</v>
      </c>
      <c r="BG26" s="60">
        <v>0.13</v>
      </c>
      <c r="BH26" s="75"/>
      <c r="BI26" s="72">
        <f t="shared" si="8"/>
        <v>22.477964</v>
      </c>
      <c r="BJ26" s="76"/>
      <c r="BK26" s="77"/>
      <c r="BL26" s="78"/>
      <c r="BM26" s="78"/>
      <c r="BN26" s="77"/>
      <c r="BO26" s="78"/>
      <c r="BP26" s="78"/>
      <c r="BQ26" s="79">
        <f t="shared" si="9"/>
        <v>0</v>
      </c>
      <c r="BR26" s="80"/>
      <c r="BS26" s="77"/>
      <c r="BT26" s="77"/>
      <c r="BU26" s="77"/>
      <c r="BV26" s="77"/>
      <c r="BW26" s="77"/>
      <c r="BX26" s="77"/>
      <c r="BY26" s="72">
        <f t="shared" si="10"/>
        <v>0</v>
      </c>
      <c r="BZ26" s="73">
        <v>10.28</v>
      </c>
      <c r="CA26" s="60">
        <v>15.61</v>
      </c>
      <c r="CB26" s="60">
        <v>13.86</v>
      </c>
      <c r="CC26" s="60">
        <v>9.83</v>
      </c>
      <c r="CD26" s="65">
        <f t="shared" si="11"/>
        <v>95.622568093385212</v>
      </c>
      <c r="CE26" s="60"/>
      <c r="CF26" s="79">
        <f t="shared" si="12"/>
        <v>121.80933333333334</v>
      </c>
      <c r="CG26" s="71">
        <v>6.97</v>
      </c>
      <c r="CH26" s="60">
        <v>14.2</v>
      </c>
      <c r="CI26" s="60">
        <v>11.76</v>
      </c>
      <c r="CJ26" s="60">
        <v>3.5</v>
      </c>
      <c r="CK26" s="59">
        <f t="shared" si="13"/>
        <v>50.215208034433289</v>
      </c>
      <c r="CL26" s="60"/>
      <c r="CM26" s="72">
        <f t="shared" si="14"/>
        <v>45.365100000000005</v>
      </c>
      <c r="CN26" s="81">
        <f t="shared" si="15"/>
        <v>1</v>
      </c>
      <c r="CO26" s="59">
        <f t="shared" si="16"/>
        <v>44.719143000000003</v>
      </c>
      <c r="CP26" s="59">
        <f t="shared" si="17"/>
        <v>1</v>
      </c>
      <c r="CQ26" s="59">
        <f t="shared" si="18"/>
        <v>22.477964</v>
      </c>
      <c r="CR26" s="59">
        <f>IF(AV26&gt;0,'Look Ups'!$L$3,0)</f>
        <v>1</v>
      </c>
      <c r="CS26" s="59">
        <f t="shared" si="19"/>
        <v>0</v>
      </c>
      <c r="CT26" s="59">
        <f t="shared" si="20"/>
        <v>0</v>
      </c>
      <c r="CU26" s="59">
        <f t="shared" si="21"/>
        <v>0</v>
      </c>
      <c r="CV26" s="79">
        <f t="shared" si="22"/>
        <v>0</v>
      </c>
      <c r="CW26" s="82" t="str">
        <f t="shared" si="23"/>
        <v>valid</v>
      </c>
      <c r="CX26" s="65" t="str">
        <f t="shared" si="24"/>
        <v>valid</v>
      </c>
      <c r="CY26" s="66" t="str">
        <f t="shared" si="25"/>
        <v>MGScrSp</v>
      </c>
      <c r="CZ26" s="81">
        <f t="shared" si="26"/>
        <v>67.197107000000003</v>
      </c>
      <c r="DA26" s="59">
        <f t="shared" si="27"/>
        <v>29.7994108</v>
      </c>
      <c r="DB26" s="59">
        <f t="shared" si="28"/>
        <v>8.0104976000000008</v>
      </c>
      <c r="DC26" s="59">
        <f t="shared" si="29"/>
        <v>29.302753953333333</v>
      </c>
      <c r="DD26" s="59">
        <f t="shared" si="30"/>
        <v>1.2587924800000003</v>
      </c>
      <c r="DE26" s="79">
        <f t="shared" si="31"/>
        <v>69.599154331999998</v>
      </c>
      <c r="DF26" s="83">
        <f t="shared" si="32"/>
        <v>97.758653433333336</v>
      </c>
      <c r="DG26" s="412"/>
    </row>
    <row r="27" spans="2:153" ht="16.5" customHeight="1" x14ac:dyDescent="0.25">
      <c r="B27" s="414"/>
      <c r="C27" s="414" t="s">
        <v>221</v>
      </c>
      <c r="D27" s="48" t="s">
        <v>888</v>
      </c>
      <c r="E27" s="49" t="s">
        <v>957</v>
      </c>
      <c r="F27" s="415">
        <f t="shared" si="0"/>
        <v>0.77483479194645177</v>
      </c>
      <c r="G27" s="415" t="str">
        <f t="shared" ca="1" si="1"/>
        <v>No</v>
      </c>
      <c r="H27" s="51" t="str">
        <f t="shared" si="2"/>
        <v>Main - Genoa - Screacher</v>
      </c>
      <c r="I27" s="52">
        <v>39039</v>
      </c>
      <c r="J27" s="52">
        <v>43499</v>
      </c>
      <c r="K27" s="53" t="s">
        <v>179</v>
      </c>
      <c r="L27" s="53" t="s">
        <v>143</v>
      </c>
      <c r="M27" s="54"/>
      <c r="N27" s="55" t="s">
        <v>127</v>
      </c>
      <c r="O27" s="55" t="s">
        <v>128</v>
      </c>
      <c r="P27" s="86"/>
      <c r="Q27" s="57">
        <v>6</v>
      </c>
      <c r="R27" s="58"/>
      <c r="S27" s="59">
        <f t="shared" si="3"/>
        <v>0.15000000000000002</v>
      </c>
      <c r="T27" s="60">
        <v>0</v>
      </c>
      <c r="U27" s="60"/>
      <c r="V27" s="61">
        <f t="shared" si="33"/>
        <v>6</v>
      </c>
      <c r="W27" s="62">
        <f>IF(RL&gt;0,IF(RL&gt;'Look Ups'!R$7,'Look Ups'!R$8,('Look Ups'!R$3*RL^3+'Look Ups'!R$4*RL^2+'Look Ups'!R$5*RL+'Look Ups'!R$6)),0)</f>
        <v>0.28422800000000004</v>
      </c>
      <c r="X27" s="63">
        <v>660</v>
      </c>
      <c r="Y27" s="64"/>
      <c r="Z27" s="64"/>
      <c r="AA27" s="64"/>
      <c r="AB27" s="65">
        <f t="shared" si="4"/>
        <v>660</v>
      </c>
      <c r="AC27" s="66">
        <f t="shared" si="5"/>
        <v>660</v>
      </c>
      <c r="AD27" s="67" t="s">
        <v>129</v>
      </c>
      <c r="AE27" s="68" t="s">
        <v>130</v>
      </c>
      <c r="AF27" s="69" t="s">
        <v>131</v>
      </c>
      <c r="AG27" s="70">
        <f>IF(C27="",0,VLOOKUP(AD27,'Look Ups'!$B$3:$C$6,2,0)*VLOOKUP(AE27,'Look Ups'!$E$3:$F$5,2,0)*VLOOKUP(AF27,'Look Ups'!$H$3:$I$7,2,0))</f>
        <v>1</v>
      </c>
      <c r="AH27" s="71">
        <v>7.83</v>
      </c>
      <c r="AI27" s="60">
        <v>7.62</v>
      </c>
      <c r="AJ27" s="60">
        <v>2.2599999999999998</v>
      </c>
      <c r="AK27" s="60">
        <v>0.97</v>
      </c>
      <c r="AL27" s="60">
        <v>0.33</v>
      </c>
      <c r="AM27" s="60">
        <v>7.57</v>
      </c>
      <c r="AN27" s="60">
        <v>0.08</v>
      </c>
      <c r="AO27" s="60">
        <v>2.2799999999999998</v>
      </c>
      <c r="AP27" s="60">
        <v>2.5000000000000001E-2</v>
      </c>
      <c r="AQ27" s="60">
        <v>0.33</v>
      </c>
      <c r="AR27" s="60" t="s">
        <v>132</v>
      </c>
      <c r="AS27" s="75"/>
      <c r="AT27" s="59">
        <f t="shared" si="6"/>
        <v>7.5950000000000006</v>
      </c>
      <c r="AU27" s="59">
        <f t="shared" si="7"/>
        <v>0.93678750000000011</v>
      </c>
      <c r="AV27" s="72">
        <f>IF(C27="",0,(0.5*(_ML1*LPM)+0.5*(_ML1*HB)+0.66*(P*PR)+0.66*(_ML2*RDM)+0.66*(E*ER))*VLOOKUP(BATT,'Look Ups'!$N$3:$O$4,2,0))</f>
        <v>14.742402</v>
      </c>
      <c r="AW27" s="73"/>
      <c r="AX27" s="74"/>
      <c r="AY27" s="71">
        <v>7.34</v>
      </c>
      <c r="AZ27" s="60">
        <v>2.21</v>
      </c>
      <c r="BA27" s="60">
        <v>2.46</v>
      </c>
      <c r="BB27" s="60">
        <v>0.11</v>
      </c>
      <c r="BC27" s="60">
        <v>6.64</v>
      </c>
      <c r="BD27" s="60"/>
      <c r="BE27" s="60"/>
      <c r="BF27" s="60">
        <v>0.24</v>
      </c>
      <c r="BG27" s="60">
        <v>-0.06</v>
      </c>
      <c r="BH27" s="75"/>
      <c r="BI27" s="72">
        <f t="shared" si="8"/>
        <v>9.0504079999999991</v>
      </c>
      <c r="BJ27" s="76"/>
      <c r="BK27" s="77"/>
      <c r="BL27" s="78"/>
      <c r="BM27" s="78"/>
      <c r="BN27" s="77"/>
      <c r="BO27" s="78"/>
      <c r="BP27" s="78"/>
      <c r="BQ27" s="79">
        <f t="shared" si="9"/>
        <v>0</v>
      </c>
      <c r="BR27" s="80"/>
      <c r="BS27" s="77"/>
      <c r="BT27" s="77"/>
      <c r="BU27" s="77"/>
      <c r="BV27" s="77"/>
      <c r="BW27" s="77"/>
      <c r="BX27" s="77"/>
      <c r="BY27" s="72">
        <f t="shared" si="10"/>
        <v>0</v>
      </c>
      <c r="BZ27" s="73">
        <v>4.62</v>
      </c>
      <c r="CA27" s="60">
        <v>8.44</v>
      </c>
      <c r="CB27" s="60">
        <v>7.24</v>
      </c>
      <c r="CC27" s="60">
        <v>4.45</v>
      </c>
      <c r="CD27" s="65">
        <f t="shared" si="11"/>
        <v>96.320346320346317</v>
      </c>
      <c r="CE27" s="60"/>
      <c r="CF27" s="79">
        <f t="shared" si="12"/>
        <v>29.295466666666663</v>
      </c>
      <c r="CG27" s="71">
        <v>6.45</v>
      </c>
      <c r="CH27" s="60">
        <v>9.65</v>
      </c>
      <c r="CI27" s="60">
        <v>8.65</v>
      </c>
      <c r="CJ27" s="60">
        <v>4.5199999999999996</v>
      </c>
      <c r="CK27" s="59">
        <f t="shared" si="13"/>
        <v>70.077519379844958</v>
      </c>
      <c r="CL27" s="60"/>
      <c r="CM27" s="72">
        <f t="shared" si="14"/>
        <v>37.408250000000002</v>
      </c>
      <c r="CN27" s="81">
        <f t="shared" si="15"/>
        <v>1</v>
      </c>
      <c r="CO27" s="59">
        <f t="shared" si="16"/>
        <v>15.6791895</v>
      </c>
      <c r="CP27" s="59">
        <f t="shared" si="17"/>
        <v>1</v>
      </c>
      <c r="CQ27" s="59">
        <f t="shared" si="18"/>
        <v>9.0504079999999991</v>
      </c>
      <c r="CR27" s="59">
        <f>IF(AV27&gt;0,'Look Ups'!$L$3,0)</f>
        <v>1</v>
      </c>
      <c r="CS27" s="59">
        <f t="shared" si="19"/>
        <v>0</v>
      </c>
      <c r="CT27" s="59">
        <f t="shared" si="20"/>
        <v>0</v>
      </c>
      <c r="CU27" s="59">
        <f t="shared" si="21"/>
        <v>0</v>
      </c>
      <c r="CV27" s="79">
        <f t="shared" si="22"/>
        <v>0</v>
      </c>
      <c r="CW27" s="82" t="str">
        <f t="shared" si="23"/>
        <v>valid</v>
      </c>
      <c r="CX27" s="65">
        <f t="shared" si="24"/>
        <v>0</v>
      </c>
      <c r="CY27" s="66" t="str">
        <f t="shared" si="25"/>
        <v>MGScr</v>
      </c>
      <c r="CZ27" s="81">
        <f t="shared" si="26"/>
        <v>24.729597499999997</v>
      </c>
      <c r="DA27" s="59">
        <f t="shared" si="27"/>
        <v>6.0735175999999997</v>
      </c>
      <c r="DB27" s="59">
        <f t="shared" si="28"/>
        <v>9.9252447000000004</v>
      </c>
      <c r="DC27" s="59">
        <f t="shared" si="29"/>
        <v>5.9722923066666658</v>
      </c>
      <c r="DD27" s="59">
        <f t="shared" si="30"/>
        <v>1.5596813100000002</v>
      </c>
      <c r="DE27" s="79">
        <f t="shared" si="31"/>
        <v>25.445505901999997</v>
      </c>
      <c r="DF27" s="83">
        <f t="shared" si="32"/>
        <v>34.654842199999997</v>
      </c>
      <c r="DG27" s="412"/>
    </row>
    <row r="28" spans="2:153" ht="16.5" customHeight="1" x14ac:dyDescent="0.25">
      <c r="B28" s="416"/>
      <c r="C28" s="414" t="s">
        <v>1069</v>
      </c>
      <c r="D28" s="84" t="s">
        <v>970</v>
      </c>
      <c r="E28" s="49" t="s">
        <v>1070</v>
      </c>
      <c r="F28" s="415">
        <f t="shared" si="0"/>
        <v>0.97522573302483107</v>
      </c>
      <c r="G28" s="415" t="str">
        <f t="shared" ca="1" si="1"/>
        <v>Yes</v>
      </c>
      <c r="H28" s="51" t="str">
        <f t="shared" si="2"/>
        <v>Main - Genoa - Screacher - Spinnaker</v>
      </c>
      <c r="I28" s="52">
        <v>44476</v>
      </c>
      <c r="J28" s="52">
        <v>44917</v>
      </c>
      <c r="K28" s="53" t="s">
        <v>153</v>
      </c>
      <c r="L28" s="53" t="s">
        <v>1031</v>
      </c>
      <c r="M28" s="54"/>
      <c r="N28" s="75" t="s">
        <v>149</v>
      </c>
      <c r="O28" s="75"/>
      <c r="P28" s="85"/>
      <c r="Q28" s="57">
        <v>12.07</v>
      </c>
      <c r="R28" s="58"/>
      <c r="S28" s="59">
        <f t="shared" si="3"/>
        <v>0.30175000000000002</v>
      </c>
      <c r="T28" s="60"/>
      <c r="U28" s="60"/>
      <c r="V28" s="61">
        <f t="shared" si="33"/>
        <v>12.07</v>
      </c>
      <c r="W28" s="62">
        <f>IF(RL&gt;0,IF(RL&gt;'Look Ups'!R$7,'Look Ups'!R$8,('Look Ups'!R$3*RL^3+'Look Ups'!R$4*RL^2+'Look Ups'!R$5*RL+'Look Ups'!R$6)),0)</f>
        <v>0.3</v>
      </c>
      <c r="X28" s="63">
        <v>2950</v>
      </c>
      <c r="Y28" s="64"/>
      <c r="Z28" s="431"/>
      <c r="AA28" s="431"/>
      <c r="AB28" s="65">
        <f t="shared" si="4"/>
        <v>2950</v>
      </c>
      <c r="AC28" s="66">
        <f t="shared" si="5"/>
        <v>2950</v>
      </c>
      <c r="AD28" s="67" t="s">
        <v>129</v>
      </c>
      <c r="AE28" s="68" t="s">
        <v>130</v>
      </c>
      <c r="AF28" s="69" t="s">
        <v>131</v>
      </c>
      <c r="AG28" s="70">
        <f>IF(C28="",0,VLOOKUP(AD28,'Look Ups'!$B$3:$C$6,2,0)*VLOOKUP(AE28,'Look Ups'!$E$3:$F$5,2,0)*VLOOKUP(AF28,'Look Ups'!$H$3:$I$7,2,0))</f>
        <v>1</v>
      </c>
      <c r="AH28" s="71">
        <v>15.6</v>
      </c>
      <c r="AI28" s="60">
        <v>15.35</v>
      </c>
      <c r="AJ28" s="60">
        <v>4.5019999999999998</v>
      </c>
      <c r="AK28" s="60">
        <v>1.7</v>
      </c>
      <c r="AL28" s="60">
        <v>0.40200000000000002</v>
      </c>
      <c r="AM28" s="60">
        <v>15.37</v>
      </c>
      <c r="AN28" s="60">
        <v>0.7</v>
      </c>
      <c r="AO28" s="60">
        <v>4.6020000000000003</v>
      </c>
      <c r="AP28" s="60">
        <v>0</v>
      </c>
      <c r="AQ28" s="60">
        <v>0.62</v>
      </c>
      <c r="AR28" s="60" t="s">
        <v>132</v>
      </c>
      <c r="AS28" s="75"/>
      <c r="AT28" s="59">
        <f t="shared" si="6"/>
        <v>15.37</v>
      </c>
      <c r="AU28" s="59">
        <f t="shared" si="7"/>
        <v>3.5735250000000001</v>
      </c>
      <c r="AV28" s="72">
        <f>IF(C28="",0,(0.5*(_ML1*LPM)+0.5*(_ML1*HB)+0.66*(P*PR)+0.66*(_ML2*RDM)+0.66*(E*ER))*VLOOKUP(BATT,'Look Ups'!$N$3:$O$4,2,0))</f>
        <v>59.549202000000001</v>
      </c>
      <c r="AW28" s="73"/>
      <c r="AX28" s="74"/>
      <c r="AY28" s="71">
        <v>14.33</v>
      </c>
      <c r="AZ28" s="60">
        <v>4.0199999999999996</v>
      </c>
      <c r="BA28" s="60">
        <v>4.3499999999999996</v>
      </c>
      <c r="BB28" s="60">
        <v>0.08</v>
      </c>
      <c r="BC28" s="60">
        <v>13.28</v>
      </c>
      <c r="BD28" s="60"/>
      <c r="BE28" s="60"/>
      <c r="BF28" s="60">
        <v>-0.28999999999999998</v>
      </c>
      <c r="BG28" s="60">
        <v>0</v>
      </c>
      <c r="BH28" s="58"/>
      <c r="BI28" s="72">
        <f t="shared" si="8"/>
        <v>26.491187999999994</v>
      </c>
      <c r="BJ28" s="76"/>
      <c r="BK28" s="77"/>
      <c r="BL28" s="78"/>
      <c r="BM28" s="78"/>
      <c r="BN28" s="77"/>
      <c r="BO28" s="78"/>
      <c r="BP28" s="78"/>
      <c r="BQ28" s="79">
        <f t="shared" si="9"/>
        <v>0</v>
      </c>
      <c r="BR28" s="80"/>
      <c r="BS28" s="77"/>
      <c r="BT28" s="77"/>
      <c r="BU28" s="77"/>
      <c r="BV28" s="77"/>
      <c r="BW28" s="77"/>
      <c r="BX28" s="77"/>
      <c r="BY28" s="72">
        <f t="shared" si="10"/>
        <v>0</v>
      </c>
      <c r="BZ28" s="73">
        <v>8.9700000000000006</v>
      </c>
      <c r="CA28" s="60">
        <v>17.25</v>
      </c>
      <c r="CB28" s="60">
        <v>14.84</v>
      </c>
      <c r="CC28" s="60">
        <v>7.9</v>
      </c>
      <c r="CD28" s="65">
        <f t="shared" si="11"/>
        <v>88.071348940914149</v>
      </c>
      <c r="CE28" s="75"/>
      <c r="CF28" s="79">
        <f t="shared" si="12"/>
        <v>108.49094166666669</v>
      </c>
      <c r="CG28" s="71">
        <v>5.66</v>
      </c>
      <c r="CH28" s="60">
        <v>15.88</v>
      </c>
      <c r="CI28" s="60">
        <v>14.16</v>
      </c>
      <c r="CJ28" s="60">
        <v>2.83</v>
      </c>
      <c r="CK28" s="59">
        <f t="shared" si="13"/>
        <v>50</v>
      </c>
      <c r="CL28" s="60"/>
      <c r="CM28" s="72">
        <f t="shared" si="14"/>
        <v>42.506599999999999</v>
      </c>
      <c r="CN28" s="81">
        <f t="shared" si="15"/>
        <v>1</v>
      </c>
      <c r="CO28" s="59">
        <f t="shared" si="16"/>
        <v>63.122726999999998</v>
      </c>
      <c r="CP28" s="59">
        <f t="shared" si="17"/>
        <v>1</v>
      </c>
      <c r="CQ28" s="59">
        <f t="shared" si="18"/>
        <v>26.491187999999994</v>
      </c>
      <c r="CR28" s="59">
        <f>IF(AV28&gt;0,'Look Ups'!$L$3,0)</f>
        <v>1</v>
      </c>
      <c r="CS28" s="59">
        <f t="shared" si="19"/>
        <v>0</v>
      </c>
      <c r="CT28" s="59">
        <f t="shared" si="20"/>
        <v>0</v>
      </c>
      <c r="CU28" s="59">
        <f t="shared" si="21"/>
        <v>0</v>
      </c>
      <c r="CV28" s="79">
        <f t="shared" si="22"/>
        <v>0</v>
      </c>
      <c r="CW28" s="82" t="str">
        <f t="shared" si="23"/>
        <v>valid</v>
      </c>
      <c r="CX28" s="65" t="str">
        <f t="shared" si="24"/>
        <v>valid</v>
      </c>
      <c r="CY28" s="66" t="str">
        <f t="shared" si="25"/>
        <v>MGScrSp</v>
      </c>
      <c r="CZ28" s="81">
        <f t="shared" si="26"/>
        <v>89.613914999999992</v>
      </c>
      <c r="DA28" s="59">
        <f t="shared" si="27"/>
        <v>24.599926100000008</v>
      </c>
      <c r="DB28" s="59">
        <f t="shared" si="28"/>
        <v>5.605394200000001</v>
      </c>
      <c r="DC28" s="59">
        <f t="shared" si="29"/>
        <v>24.189927331666674</v>
      </c>
      <c r="DD28" s="59">
        <f t="shared" si="30"/>
        <v>0.88084766000000025</v>
      </c>
      <c r="DE28" s="79">
        <f t="shared" si="31"/>
        <v>93.570121211999989</v>
      </c>
      <c r="DF28" s="83">
        <f t="shared" si="32"/>
        <v>114.68468999166666</v>
      </c>
      <c r="DG28" s="412"/>
    </row>
    <row r="29" spans="2:153" ht="16.5" customHeight="1" x14ac:dyDescent="0.25">
      <c r="B29" s="414"/>
      <c r="C29" s="414" t="s">
        <v>969</v>
      </c>
      <c r="D29" s="48" t="s">
        <v>970</v>
      </c>
      <c r="E29" s="49" t="s">
        <v>971</v>
      </c>
      <c r="F29" s="415">
        <f t="shared" si="0"/>
        <v>0.8883195697897337</v>
      </c>
      <c r="G29" s="415" t="str">
        <f t="shared" ca="1" si="1"/>
        <v>Yes</v>
      </c>
      <c r="H29" s="51" t="str">
        <f t="shared" si="2"/>
        <v>Main - Genoa - Screacher - Spinnaker</v>
      </c>
      <c r="I29" s="52">
        <v>43551</v>
      </c>
      <c r="J29" s="52">
        <v>43551</v>
      </c>
      <c r="K29" s="53" t="s">
        <v>558</v>
      </c>
      <c r="L29" s="53" t="s">
        <v>841</v>
      </c>
      <c r="M29" s="54"/>
      <c r="N29" s="75" t="s">
        <v>127</v>
      </c>
      <c r="O29" s="75" t="s">
        <v>128</v>
      </c>
      <c r="P29" s="56"/>
      <c r="Q29" s="57">
        <v>12.1</v>
      </c>
      <c r="R29" s="58"/>
      <c r="S29" s="59">
        <f t="shared" si="3"/>
        <v>0.30249999999999999</v>
      </c>
      <c r="T29" s="60">
        <v>0</v>
      </c>
      <c r="U29" s="60">
        <v>0</v>
      </c>
      <c r="V29" s="61">
        <f t="shared" si="33"/>
        <v>12.1</v>
      </c>
      <c r="W29" s="62">
        <f>IF(RL&gt;0,IF(RL&gt;'Look Ups'!R$7,'Look Ups'!R$8,('Look Ups'!R$3*RL^3+'Look Ups'!R$4*RL^2+'Look Ups'!R$5*RL+'Look Ups'!R$6)),0)</f>
        <v>0.3</v>
      </c>
      <c r="X29" s="63">
        <f>3718-12+21</f>
        <v>3727</v>
      </c>
      <c r="Y29" s="64"/>
      <c r="Z29" s="274"/>
      <c r="AA29" s="64"/>
      <c r="AB29" s="65">
        <f t="shared" si="4"/>
        <v>3727</v>
      </c>
      <c r="AC29" s="66">
        <f t="shared" si="5"/>
        <v>3727</v>
      </c>
      <c r="AD29" s="67" t="s">
        <v>129</v>
      </c>
      <c r="AE29" s="68" t="s">
        <v>130</v>
      </c>
      <c r="AF29" s="69" t="s">
        <v>131</v>
      </c>
      <c r="AG29" s="70">
        <f>IF(C29="",0,VLOOKUP(AD29,'Look Ups'!$B$3:$C$6,2,0)*VLOOKUP(AE29,'Look Ups'!$E$3:$F$5,2,0)*VLOOKUP(AF29,'Look Ups'!$H$3:$I$7,2,0))</f>
        <v>1</v>
      </c>
      <c r="AH29" s="71">
        <v>15.15</v>
      </c>
      <c r="AI29" s="60">
        <v>14.91</v>
      </c>
      <c r="AJ29" s="60">
        <v>4.53</v>
      </c>
      <c r="AK29" s="60">
        <v>1.81</v>
      </c>
      <c r="AL29" s="60">
        <v>0.38</v>
      </c>
      <c r="AM29" s="60">
        <v>15.02</v>
      </c>
      <c r="AN29" s="60">
        <v>0.13</v>
      </c>
      <c r="AO29" s="60">
        <v>4.62</v>
      </c>
      <c r="AP29" s="60">
        <v>0.15</v>
      </c>
      <c r="AQ29" s="60">
        <v>0.63</v>
      </c>
      <c r="AR29" s="60" t="s">
        <v>132</v>
      </c>
      <c r="AS29" s="75"/>
      <c r="AT29" s="59">
        <f t="shared" si="6"/>
        <v>15.17</v>
      </c>
      <c r="AU29" s="59">
        <f t="shared" si="7"/>
        <v>3.5484750000000003</v>
      </c>
      <c r="AV29" s="72">
        <f>IF(C29="",0,(0.5*(_ML1*LPM)+0.5*(_ML1*HB)+0.66*(P*PR)+0.66*(_ML2*RDM)+0.66*(E*ER))*VLOOKUP(BATT,'Look Ups'!$N$3:$O$4,2,0))</f>
        <v>53.511024000000006</v>
      </c>
      <c r="AW29" s="73"/>
      <c r="AX29" s="74"/>
      <c r="AY29" s="71">
        <v>14.3</v>
      </c>
      <c r="AZ29" s="60">
        <v>3.93</v>
      </c>
      <c r="BA29" s="60">
        <v>4.2300000000000004</v>
      </c>
      <c r="BB29" s="60">
        <v>0.16</v>
      </c>
      <c r="BC29" s="60">
        <v>13.28</v>
      </c>
      <c r="BD29" s="60">
        <v>13.26</v>
      </c>
      <c r="BE29" s="60">
        <v>0.08</v>
      </c>
      <c r="BF29" s="60">
        <v>-0.21</v>
      </c>
      <c r="BG29" s="60">
        <v>0</v>
      </c>
      <c r="BH29" s="75"/>
      <c r="BI29" s="72">
        <f t="shared" si="8"/>
        <v>27.239552000000003</v>
      </c>
      <c r="BJ29" s="76"/>
      <c r="BK29" s="77"/>
      <c r="BL29" s="78"/>
      <c r="BM29" s="78"/>
      <c r="BN29" s="77"/>
      <c r="BO29" s="78"/>
      <c r="BP29" s="78"/>
      <c r="BQ29" s="79">
        <f t="shared" si="9"/>
        <v>0</v>
      </c>
      <c r="BR29" s="80"/>
      <c r="BS29" s="77"/>
      <c r="BT29" s="77"/>
      <c r="BU29" s="77"/>
      <c r="BV29" s="77"/>
      <c r="BW29" s="77"/>
      <c r="BX29" s="77"/>
      <c r="BY29" s="72">
        <f t="shared" si="10"/>
        <v>0</v>
      </c>
      <c r="BZ29" s="73">
        <v>8.57</v>
      </c>
      <c r="CA29" s="60">
        <v>17.440000000000001</v>
      </c>
      <c r="CB29" s="60">
        <v>15.03</v>
      </c>
      <c r="CC29" s="60">
        <v>7.68</v>
      </c>
      <c r="CD29" s="65">
        <f t="shared" si="11"/>
        <v>89.614935822637094</v>
      </c>
      <c r="CE29" s="60"/>
      <c r="CF29" s="79">
        <f t="shared" si="12"/>
        <v>106.31219166666665</v>
      </c>
      <c r="CG29" s="71">
        <v>7.77</v>
      </c>
      <c r="CH29" s="60">
        <v>16</v>
      </c>
      <c r="CI29" s="60">
        <v>13.87</v>
      </c>
      <c r="CJ29" s="60">
        <v>4.42</v>
      </c>
      <c r="CK29" s="59">
        <f t="shared" si="13"/>
        <v>56.88545688545689</v>
      </c>
      <c r="CL29" s="60"/>
      <c r="CM29" s="72">
        <f t="shared" si="14"/>
        <v>63.349291666666659</v>
      </c>
      <c r="CN29" s="81">
        <f t="shared" si="15"/>
        <v>1</v>
      </c>
      <c r="CO29" s="59">
        <f t="shared" si="16"/>
        <v>57.059499000000002</v>
      </c>
      <c r="CP29" s="59">
        <f t="shared" si="17"/>
        <v>1</v>
      </c>
      <c r="CQ29" s="59">
        <f t="shared" si="18"/>
        <v>27.239552000000003</v>
      </c>
      <c r="CR29" s="59">
        <f>IF(AV29&gt;0,'Look Ups'!$L$3,0)</f>
        <v>1</v>
      </c>
      <c r="CS29" s="59">
        <f t="shared" si="19"/>
        <v>0</v>
      </c>
      <c r="CT29" s="59">
        <f t="shared" si="20"/>
        <v>0</v>
      </c>
      <c r="CU29" s="59">
        <f t="shared" si="21"/>
        <v>0</v>
      </c>
      <c r="CV29" s="79">
        <f t="shared" si="22"/>
        <v>0</v>
      </c>
      <c r="CW29" s="82" t="str">
        <f t="shared" si="23"/>
        <v>valid</v>
      </c>
      <c r="CX29" s="65" t="str">
        <f t="shared" si="24"/>
        <v>valid</v>
      </c>
      <c r="CY29" s="66" t="str">
        <f t="shared" si="25"/>
        <v>MGScrSp</v>
      </c>
      <c r="CZ29" s="81">
        <f t="shared" si="26"/>
        <v>84.299051000000006</v>
      </c>
      <c r="DA29" s="59">
        <f t="shared" si="27"/>
        <v>23.721791899999992</v>
      </c>
      <c r="DB29" s="59">
        <f t="shared" si="28"/>
        <v>12.638408883333328</v>
      </c>
      <c r="DC29" s="59">
        <f t="shared" si="29"/>
        <v>23.326428701666661</v>
      </c>
      <c r="DD29" s="59">
        <f t="shared" si="30"/>
        <v>1.986035681666666</v>
      </c>
      <c r="DE29" s="79">
        <f t="shared" si="31"/>
        <v>87.519605276000007</v>
      </c>
      <c r="DF29" s="83">
        <f t="shared" si="32"/>
        <v>109.61151538333333</v>
      </c>
      <c r="DG29" s="412"/>
    </row>
    <row r="30" spans="2:153" ht="16.5" customHeight="1" x14ac:dyDescent="0.25">
      <c r="B30" s="416"/>
      <c r="C30" s="414" t="s">
        <v>229</v>
      </c>
      <c r="D30" s="429" t="s">
        <v>214</v>
      </c>
      <c r="E30" s="57" t="s">
        <v>230</v>
      </c>
      <c r="F30" s="415">
        <f t="shared" si="0"/>
        <v>1.0808593361753205</v>
      </c>
      <c r="G30" s="415" t="str">
        <f t="shared" ca="1" si="1"/>
        <v>No</v>
      </c>
      <c r="H30" s="51" t="str">
        <f t="shared" si="2"/>
        <v>Main - Genoa - Screacher</v>
      </c>
      <c r="I30" s="52">
        <v>41294</v>
      </c>
      <c r="J30" s="52">
        <v>44184</v>
      </c>
      <c r="K30" s="53" t="s">
        <v>1002</v>
      </c>
      <c r="L30" s="53" t="s">
        <v>299</v>
      </c>
      <c r="M30" s="54"/>
      <c r="N30" s="75" t="s">
        <v>127</v>
      </c>
      <c r="O30" s="75" t="s">
        <v>128</v>
      </c>
      <c r="P30" s="56"/>
      <c r="Q30" s="57">
        <v>10.02</v>
      </c>
      <c r="R30" s="58"/>
      <c r="S30" s="59">
        <f t="shared" si="3"/>
        <v>0.2505</v>
      </c>
      <c r="T30" s="60">
        <v>0</v>
      </c>
      <c r="U30" s="60">
        <v>0</v>
      </c>
      <c r="V30" s="61">
        <f t="shared" si="33"/>
        <v>10.02</v>
      </c>
      <c r="W30" s="62">
        <f>IF(RL&gt;0,IF(RL&gt;'Look Ups'!R$7,'Look Ups'!R$8,('Look Ups'!R$3*RL^3+'Look Ups'!R$4*RL^2+'Look Ups'!R$5*RL+'Look Ups'!R$6)),0)</f>
        <v>0.29852783626400003</v>
      </c>
      <c r="X30" s="63">
        <v>1417</v>
      </c>
      <c r="Y30" s="64"/>
      <c r="Z30" s="64"/>
      <c r="AA30" s="64"/>
      <c r="AB30" s="65">
        <f t="shared" si="4"/>
        <v>1417</v>
      </c>
      <c r="AC30" s="66">
        <f t="shared" si="5"/>
        <v>1417</v>
      </c>
      <c r="AD30" s="67" t="s">
        <v>129</v>
      </c>
      <c r="AE30" s="68" t="s">
        <v>130</v>
      </c>
      <c r="AF30" s="69" t="s">
        <v>131</v>
      </c>
      <c r="AG30" s="70">
        <f>IF(C30="",0,VLOOKUP(AD30,'Look Ups'!$B$3:$C$6,2,0)*VLOOKUP(AE30,'Look Ups'!$E$3:$F$5,2,0)*VLOOKUP(AF30,'Look Ups'!$H$3:$I$7,2,0))</f>
        <v>1</v>
      </c>
      <c r="AH30" s="71">
        <v>14.96</v>
      </c>
      <c r="AI30" s="60">
        <v>14.7</v>
      </c>
      <c r="AJ30" s="60">
        <v>4.1749999999999998</v>
      </c>
      <c r="AK30" s="60">
        <v>1.4550000000000001</v>
      </c>
      <c r="AL30" s="60">
        <v>0.22</v>
      </c>
      <c r="AM30" s="60">
        <v>14.33</v>
      </c>
      <c r="AN30" s="60">
        <v>0.08</v>
      </c>
      <c r="AO30" s="60">
        <v>4.37</v>
      </c>
      <c r="AP30" s="60">
        <v>0.03</v>
      </c>
      <c r="AQ30" s="60">
        <v>0.63500000000000001</v>
      </c>
      <c r="AR30" s="60" t="s">
        <v>132</v>
      </c>
      <c r="AS30" s="75" t="s">
        <v>231</v>
      </c>
      <c r="AT30" s="59">
        <f t="shared" si="6"/>
        <v>14.36</v>
      </c>
      <c r="AU30" s="59">
        <f t="shared" si="7"/>
        <v>3.4123312500000003</v>
      </c>
      <c r="AV30" s="72">
        <f>IF(C30="",0,(0.5*(_ML1*LPM)+0.5*(_ML1*HB)+0.66*(P*PR)+0.66*(_ML2*RDM)+0.66*(E*ER))*VLOOKUP(BATT,'Look Ups'!$N$3:$O$4,2,0))</f>
        <v>45.08999</v>
      </c>
      <c r="AW30" s="73"/>
      <c r="AX30" s="74"/>
      <c r="AY30" s="71">
        <v>12.67</v>
      </c>
      <c r="AZ30" s="60">
        <v>3.4</v>
      </c>
      <c r="BA30" s="60">
        <v>3.77</v>
      </c>
      <c r="BB30" s="60">
        <v>1.7000000000000001E-2</v>
      </c>
      <c r="BC30" s="60">
        <v>11.45</v>
      </c>
      <c r="BD30" s="60"/>
      <c r="BE30" s="60"/>
      <c r="BF30" s="60">
        <v>2.1000000000000001E-2</v>
      </c>
      <c r="BG30" s="60">
        <v>8.9999999999999993E-3</v>
      </c>
      <c r="BH30" s="75" t="s">
        <v>1043</v>
      </c>
      <c r="BI30" s="72">
        <f t="shared" si="8"/>
        <v>21.8152562</v>
      </c>
      <c r="BJ30" s="76"/>
      <c r="BK30" s="77"/>
      <c r="BL30" s="78"/>
      <c r="BM30" s="78"/>
      <c r="BN30" s="77"/>
      <c r="BO30" s="78"/>
      <c r="BP30" s="78"/>
      <c r="BQ30" s="79">
        <f t="shared" si="9"/>
        <v>0</v>
      </c>
      <c r="BR30" s="80"/>
      <c r="BS30" s="77"/>
      <c r="BT30" s="77"/>
      <c r="BU30" s="77"/>
      <c r="BV30" s="77"/>
      <c r="BW30" s="77"/>
      <c r="BX30" s="77"/>
      <c r="BY30" s="72">
        <f t="shared" si="10"/>
        <v>0</v>
      </c>
      <c r="BZ30" s="73"/>
      <c r="CA30" s="60"/>
      <c r="CB30" s="60"/>
      <c r="CC30" s="60"/>
      <c r="CD30" s="65" t="str">
        <f t="shared" si="11"/>
        <v/>
      </c>
      <c r="CE30" s="60"/>
      <c r="CF30" s="79">
        <f t="shared" si="12"/>
        <v>0</v>
      </c>
      <c r="CG30" s="71">
        <v>10.02</v>
      </c>
      <c r="CH30" s="60">
        <v>17.03</v>
      </c>
      <c r="CI30" s="60">
        <v>15.63</v>
      </c>
      <c r="CJ30" s="60">
        <v>5.92</v>
      </c>
      <c r="CK30" s="59">
        <f t="shared" si="13"/>
        <v>59.081836327345314</v>
      </c>
      <c r="CL30" s="60"/>
      <c r="CM30" s="72">
        <f t="shared" si="14"/>
        <v>91.720166666666685</v>
      </c>
      <c r="CN30" s="81">
        <f t="shared" si="15"/>
        <v>1</v>
      </c>
      <c r="CO30" s="59">
        <f t="shared" si="16"/>
        <v>48.502321250000001</v>
      </c>
      <c r="CP30" s="59">
        <f t="shared" si="17"/>
        <v>1</v>
      </c>
      <c r="CQ30" s="59">
        <f t="shared" si="18"/>
        <v>21.8152562</v>
      </c>
      <c r="CR30" s="59">
        <f>IF(AV30&gt;0,'Look Ups'!$L$3,0)</f>
        <v>1</v>
      </c>
      <c r="CS30" s="59">
        <f t="shared" si="19"/>
        <v>0</v>
      </c>
      <c r="CT30" s="59">
        <f t="shared" si="20"/>
        <v>0</v>
      </c>
      <c r="CU30" s="59">
        <f t="shared" si="21"/>
        <v>0</v>
      </c>
      <c r="CV30" s="79">
        <f t="shared" si="22"/>
        <v>0</v>
      </c>
      <c r="CW30" s="82" t="str">
        <f t="shared" si="23"/>
        <v>valid</v>
      </c>
      <c r="CX30" s="65" t="str">
        <f t="shared" si="24"/>
        <v>-</v>
      </c>
      <c r="CY30" s="66" t="str">
        <f t="shared" si="25"/>
        <v>MGScr</v>
      </c>
      <c r="CZ30" s="81">
        <f t="shared" si="26"/>
        <v>70.317577450000002</v>
      </c>
      <c r="DA30" s="59">
        <f t="shared" si="27"/>
        <v>0</v>
      </c>
      <c r="DB30" s="59">
        <f t="shared" si="28"/>
        <v>24.466718663333335</v>
      </c>
      <c r="DC30" s="59">
        <f t="shared" si="29"/>
        <v>0</v>
      </c>
      <c r="DD30" s="59">
        <f t="shared" si="30"/>
        <v>3.8447700756666672</v>
      </c>
      <c r="DE30" s="79">
        <f t="shared" si="31"/>
        <v>73.199780475400004</v>
      </c>
      <c r="DF30" s="83">
        <f t="shared" si="32"/>
        <v>94.78429611333334</v>
      </c>
      <c r="DG30" s="412"/>
    </row>
    <row r="31" spans="2:153" ht="16.5" customHeight="1" x14ac:dyDescent="0.25">
      <c r="B31" s="414"/>
      <c r="C31" s="414" t="s">
        <v>232</v>
      </c>
      <c r="D31" s="48" t="s">
        <v>931</v>
      </c>
      <c r="E31" s="49" t="s">
        <v>1068</v>
      </c>
      <c r="F31" s="415">
        <f t="shared" si="0"/>
        <v>0.87322691214200265</v>
      </c>
      <c r="G31" s="415" t="str">
        <f t="shared" ca="1" si="1"/>
        <v>Yes</v>
      </c>
      <c r="H31" s="51" t="str">
        <f t="shared" si="2"/>
        <v>Main - Genoa - Screacher - Spinnaker</v>
      </c>
      <c r="I31" s="358">
        <v>42671</v>
      </c>
      <c r="J31" s="52">
        <v>44016</v>
      </c>
      <c r="K31" s="53" t="s">
        <v>506</v>
      </c>
      <c r="L31" s="53" t="s">
        <v>614</v>
      </c>
      <c r="M31" s="357"/>
      <c r="N31" s="55" t="s">
        <v>149</v>
      </c>
      <c r="O31" s="55"/>
      <c r="P31" s="56"/>
      <c r="Q31" s="57">
        <v>12.73</v>
      </c>
      <c r="R31" s="58"/>
      <c r="S31" s="59">
        <f t="shared" si="3"/>
        <v>0.31825000000000003</v>
      </c>
      <c r="T31" s="60">
        <v>0.04</v>
      </c>
      <c r="U31" s="60">
        <v>0</v>
      </c>
      <c r="V31" s="61">
        <f t="shared" si="33"/>
        <v>12.690000000000001</v>
      </c>
      <c r="W31" s="62">
        <f>IF(RL&gt;0,IF(RL&gt;'Look Ups'!R$7,'Look Ups'!R$8,('Look Ups'!R$3*RL^3+'Look Ups'!R$4*RL^2+'Look Ups'!R$5*RL+'Look Ups'!R$6)),0)</f>
        <v>0.3</v>
      </c>
      <c r="X31" s="63">
        <v>4385</v>
      </c>
      <c r="Y31" s="64"/>
      <c r="Z31" s="64">
        <v>390</v>
      </c>
      <c r="AA31" s="64">
        <v>5</v>
      </c>
      <c r="AB31" s="65">
        <f t="shared" si="4"/>
        <v>4385</v>
      </c>
      <c r="AC31" s="66">
        <f t="shared" si="5"/>
        <v>4795</v>
      </c>
      <c r="AD31" s="67" t="s">
        <v>129</v>
      </c>
      <c r="AE31" s="68" t="s">
        <v>130</v>
      </c>
      <c r="AF31" s="69" t="s">
        <v>131</v>
      </c>
      <c r="AG31" s="70">
        <f>IF(C31="",0,VLOOKUP(AD31,'Look Ups'!$B$3:$C$6,2,0)*VLOOKUP(AE31,'Look Ups'!$E$3:$F$5,2,0)*VLOOKUP(AF31,'Look Ups'!$H$3:$I$7,2,0))</f>
        <v>1</v>
      </c>
      <c r="AH31" s="71">
        <v>15.98</v>
      </c>
      <c r="AI31" s="60">
        <v>15.51</v>
      </c>
      <c r="AJ31" s="60">
        <v>4.93</v>
      </c>
      <c r="AK31" s="60">
        <v>1.58</v>
      </c>
      <c r="AL31" s="60">
        <v>0.68</v>
      </c>
      <c r="AM31" s="60">
        <v>15.7</v>
      </c>
      <c r="AN31" s="60">
        <v>0.2</v>
      </c>
      <c r="AO31" s="60">
        <v>5.07</v>
      </c>
      <c r="AP31" s="60">
        <v>0.03</v>
      </c>
      <c r="AQ31" s="60"/>
      <c r="AR31" s="60" t="s">
        <v>132</v>
      </c>
      <c r="AS31" s="75"/>
      <c r="AT31" s="59">
        <f t="shared" si="6"/>
        <v>15.729999999999999</v>
      </c>
      <c r="AU31" s="59">
        <f t="shared" si="7"/>
        <v>0</v>
      </c>
      <c r="AV31" s="72">
        <f>IF(C31="",0,(0.5*(_ML1*LPM)+0.5*(_ML1*HB)+0.66*(P*PR)+0.66*(_ML2*RDM)+0.66*(E*ER))*VLOOKUP(BATT,'Look Ups'!$N$3:$O$4,2,0))</f>
        <v>61.148573999999996</v>
      </c>
      <c r="AW31" s="73"/>
      <c r="AX31" s="74"/>
      <c r="AY31" s="71">
        <v>15.05</v>
      </c>
      <c r="AZ31" s="60">
        <v>4.3</v>
      </c>
      <c r="BA31" s="60">
        <v>4.5199999999999996</v>
      </c>
      <c r="BB31" s="60">
        <v>0.42</v>
      </c>
      <c r="BC31" s="60">
        <v>14.3</v>
      </c>
      <c r="BD31" s="60"/>
      <c r="BE31" s="60"/>
      <c r="BF31" s="60">
        <v>0.3</v>
      </c>
      <c r="BG31" s="60">
        <v>0.05</v>
      </c>
      <c r="BH31" s="75">
        <v>1</v>
      </c>
      <c r="BI31" s="72">
        <f t="shared" si="8"/>
        <v>36.938494000000006</v>
      </c>
      <c r="BJ31" s="76"/>
      <c r="BK31" s="77"/>
      <c r="BL31" s="78"/>
      <c r="BM31" s="78"/>
      <c r="BN31" s="77"/>
      <c r="BO31" s="78"/>
      <c r="BP31" s="78"/>
      <c r="BQ31" s="79">
        <f t="shared" si="9"/>
        <v>0</v>
      </c>
      <c r="BR31" s="80"/>
      <c r="BS31" s="77"/>
      <c r="BT31" s="77"/>
      <c r="BU31" s="77"/>
      <c r="BV31" s="77"/>
      <c r="BW31" s="77"/>
      <c r="BX31" s="77"/>
      <c r="BY31" s="72">
        <f t="shared" si="10"/>
        <v>0</v>
      </c>
      <c r="BZ31" s="73">
        <v>9.06</v>
      </c>
      <c r="CA31" s="60">
        <v>17.2</v>
      </c>
      <c r="CB31" s="60">
        <v>15.52</v>
      </c>
      <c r="CC31" s="60">
        <v>8.8000000000000007</v>
      </c>
      <c r="CD31" s="65">
        <f t="shared" si="11"/>
        <v>97.13024282560707</v>
      </c>
      <c r="CE31" s="60"/>
      <c r="CF31" s="79">
        <f t="shared" si="12"/>
        <v>120.68226666666666</v>
      </c>
      <c r="CG31" s="71">
        <v>8.23</v>
      </c>
      <c r="CH31" s="60">
        <v>16.239999999999998</v>
      </c>
      <c r="CI31" s="60">
        <v>14.44</v>
      </c>
      <c r="CJ31" s="60">
        <v>4.33</v>
      </c>
      <c r="CK31" s="59">
        <f t="shared" si="13"/>
        <v>52.612393681652492</v>
      </c>
      <c r="CL31" s="60"/>
      <c r="CM31" s="72">
        <f t="shared" si="14"/>
        <v>65.322833333333335</v>
      </c>
      <c r="CN31" s="81">
        <f t="shared" si="15"/>
        <v>1</v>
      </c>
      <c r="CO31" s="59">
        <f t="shared" si="16"/>
        <v>61.148573999999996</v>
      </c>
      <c r="CP31" s="59">
        <f t="shared" si="17"/>
        <v>1</v>
      </c>
      <c r="CQ31" s="59">
        <f t="shared" si="18"/>
        <v>36.938494000000006</v>
      </c>
      <c r="CR31" s="59">
        <f>IF(AV31&gt;0,'Look Ups'!$L$3,0)</f>
        <v>1</v>
      </c>
      <c r="CS31" s="59">
        <f t="shared" si="19"/>
        <v>0</v>
      </c>
      <c r="CT31" s="59">
        <f t="shared" si="20"/>
        <v>0</v>
      </c>
      <c r="CU31" s="59">
        <f t="shared" si="21"/>
        <v>0</v>
      </c>
      <c r="CV31" s="79">
        <f t="shared" si="22"/>
        <v>0</v>
      </c>
      <c r="CW31" s="82" t="str">
        <f t="shared" si="23"/>
        <v>valid</v>
      </c>
      <c r="CX31" s="65" t="str">
        <f t="shared" si="24"/>
        <v>valid</v>
      </c>
      <c r="CY31" s="66" t="str">
        <f t="shared" si="25"/>
        <v>MGScrSp</v>
      </c>
      <c r="CZ31" s="81">
        <f t="shared" si="26"/>
        <v>98.087068000000002</v>
      </c>
      <c r="DA31" s="59">
        <f t="shared" si="27"/>
        <v>25.123131799999996</v>
      </c>
      <c r="DB31" s="59">
        <f t="shared" si="28"/>
        <v>9.934518766666665</v>
      </c>
      <c r="DC31" s="59">
        <f t="shared" si="29"/>
        <v>24.704412936666664</v>
      </c>
      <c r="DD31" s="59">
        <f t="shared" si="30"/>
        <v>1.5611386633333331</v>
      </c>
      <c r="DE31" s="79">
        <f t="shared" si="31"/>
        <v>100.70175664</v>
      </c>
      <c r="DF31" s="83">
        <f t="shared" si="32"/>
        <v>124.3526196</v>
      </c>
      <c r="DG31" s="412"/>
    </row>
    <row r="32" spans="2:153" ht="16.5" customHeight="1" x14ac:dyDescent="0.25">
      <c r="B32" s="414"/>
      <c r="C32" s="418" t="s">
        <v>932</v>
      </c>
      <c r="D32" s="169" t="s">
        <v>933</v>
      </c>
      <c r="E32" s="170" t="s">
        <v>947</v>
      </c>
      <c r="F32" s="415">
        <f t="shared" si="0"/>
        <v>1.0244601301573488</v>
      </c>
      <c r="G32" s="415" t="str">
        <f t="shared" ca="1" si="1"/>
        <v>Yes</v>
      </c>
      <c r="H32" s="51" t="str">
        <f t="shared" si="2"/>
        <v>Main - Genoa - Screacher - Spinnaker</v>
      </c>
      <c r="I32" s="171">
        <v>43175</v>
      </c>
      <c r="J32" s="171">
        <v>43500</v>
      </c>
      <c r="K32" s="172" t="s">
        <v>506</v>
      </c>
      <c r="L32" s="172" t="s">
        <v>841</v>
      </c>
      <c r="M32" s="171"/>
      <c r="N32" s="173" t="s">
        <v>149</v>
      </c>
      <c r="O32" s="173"/>
      <c r="P32" s="174"/>
      <c r="Q32" s="175">
        <v>8.4779999999999998</v>
      </c>
      <c r="R32" s="78"/>
      <c r="S32" s="59">
        <f t="shared" si="3"/>
        <v>0.21195</v>
      </c>
      <c r="T32" s="176"/>
      <c r="U32" s="176">
        <v>0</v>
      </c>
      <c r="V32" s="61">
        <f t="shared" si="33"/>
        <v>8.4779999999999998</v>
      </c>
      <c r="W32" s="62">
        <f>IF(RL&gt;0,IF(RL&gt;'Look Ups'!R$7,'Look Ups'!R$8,('Look Ups'!R$3*RL^3+'Look Ups'!R$4*RL^2+'Look Ups'!R$5*RL+'Look Ups'!R$6)),0)</f>
        <v>0.295303093834616</v>
      </c>
      <c r="X32" s="177">
        <v>975</v>
      </c>
      <c r="Y32" s="178"/>
      <c r="Z32" s="178"/>
      <c r="AA32" s="178"/>
      <c r="AB32" s="65">
        <f t="shared" si="4"/>
        <v>975</v>
      </c>
      <c r="AC32" s="66">
        <f t="shared" si="5"/>
        <v>975</v>
      </c>
      <c r="AD32" s="179" t="s">
        <v>129</v>
      </c>
      <c r="AE32" s="180" t="s">
        <v>130</v>
      </c>
      <c r="AF32" s="181" t="s">
        <v>131</v>
      </c>
      <c r="AG32" s="70">
        <f>IF(C32="",0,VLOOKUP(AD32,'Look Ups'!$B$3:$C$6,2,0)*VLOOKUP(AE32,'Look Ups'!$E$3:$F$5,2,0)*VLOOKUP(AF32,'Look Ups'!$H$3:$I$7,2,0))</f>
        <v>1</v>
      </c>
      <c r="AH32" s="80">
        <v>11.08</v>
      </c>
      <c r="AI32" s="77">
        <v>10.88</v>
      </c>
      <c r="AJ32" s="77">
        <v>3.67</v>
      </c>
      <c r="AK32" s="77">
        <v>1.81</v>
      </c>
      <c r="AL32" s="77">
        <v>0.28000000000000003</v>
      </c>
      <c r="AM32" s="77">
        <v>10.68</v>
      </c>
      <c r="AN32" s="77">
        <v>0</v>
      </c>
      <c r="AO32" s="77">
        <v>3.84</v>
      </c>
      <c r="AP32" s="77">
        <v>0</v>
      </c>
      <c r="AQ32" s="77">
        <v>0.67</v>
      </c>
      <c r="AR32" s="77" t="s">
        <v>132</v>
      </c>
      <c r="AS32" s="87">
        <v>0</v>
      </c>
      <c r="AT32" s="59">
        <f t="shared" si="6"/>
        <v>10.68</v>
      </c>
      <c r="AU32" s="59">
        <f t="shared" si="7"/>
        <v>2.6833499999999999</v>
      </c>
      <c r="AV32" s="72">
        <f>IF(C32="",0,(0.5*(_ML1*LPM)+0.5*(_ML1*HB)+0.66*(P*PR)+0.66*(_ML2*RDM)+0.66*(E*ER))*VLOOKUP(BATT,'Look Ups'!$N$3:$O$4,2,0))</f>
        <v>32.369824000000001</v>
      </c>
      <c r="AW32" s="182"/>
      <c r="AX32" s="183"/>
      <c r="AY32" s="80">
        <v>8.35</v>
      </c>
      <c r="AZ32" s="77">
        <v>3.12</v>
      </c>
      <c r="BA32" s="77">
        <v>3.31</v>
      </c>
      <c r="BB32" s="77">
        <v>0.15</v>
      </c>
      <c r="BC32" s="77">
        <v>7.87</v>
      </c>
      <c r="BD32" s="77">
        <v>7.79</v>
      </c>
      <c r="BE32" s="77">
        <v>0.25</v>
      </c>
      <c r="BF32" s="77"/>
      <c r="BG32" s="77">
        <v>0.08</v>
      </c>
      <c r="BH32" s="87"/>
      <c r="BI32" s="72">
        <f t="shared" si="8"/>
        <v>14.778320000000001</v>
      </c>
      <c r="BJ32" s="76"/>
      <c r="BK32" s="77"/>
      <c r="BL32" s="78"/>
      <c r="BM32" s="78"/>
      <c r="BN32" s="77"/>
      <c r="BO32" s="78"/>
      <c r="BP32" s="78"/>
      <c r="BQ32" s="79">
        <f t="shared" si="9"/>
        <v>0</v>
      </c>
      <c r="BR32" s="80"/>
      <c r="BS32" s="77"/>
      <c r="BT32" s="77"/>
      <c r="BU32" s="77"/>
      <c r="BV32" s="77"/>
      <c r="BW32" s="77"/>
      <c r="BX32" s="77"/>
      <c r="BY32" s="72">
        <f t="shared" si="10"/>
        <v>0</v>
      </c>
      <c r="BZ32" s="182">
        <v>9.44</v>
      </c>
      <c r="CA32" s="77">
        <v>13.27</v>
      </c>
      <c r="CB32" s="77">
        <v>11.88</v>
      </c>
      <c r="CC32" s="77">
        <v>7.5</v>
      </c>
      <c r="CD32" s="65">
        <f t="shared" si="11"/>
        <v>79.449152542372886</v>
      </c>
      <c r="CE32" s="77">
        <v>0</v>
      </c>
      <c r="CF32" s="79">
        <f t="shared" si="12"/>
        <v>82.659666666666652</v>
      </c>
      <c r="CG32" s="80">
        <v>5.75</v>
      </c>
      <c r="CH32" s="77">
        <v>9.8000000000000007</v>
      </c>
      <c r="CI32" s="77">
        <v>8.65</v>
      </c>
      <c r="CJ32" s="77">
        <v>2.91</v>
      </c>
      <c r="CK32" s="59">
        <f t="shared" si="13"/>
        <v>50.608695652173921</v>
      </c>
      <c r="CL32" s="77">
        <v>0</v>
      </c>
      <c r="CM32" s="72">
        <f t="shared" si="14"/>
        <v>26.737125000000006</v>
      </c>
      <c r="CN32" s="81">
        <f t="shared" si="15"/>
        <v>1</v>
      </c>
      <c r="CO32" s="59">
        <f t="shared" si="16"/>
        <v>35.053173999999999</v>
      </c>
      <c r="CP32" s="59">
        <f t="shared" si="17"/>
        <v>1</v>
      </c>
      <c r="CQ32" s="59">
        <f t="shared" si="18"/>
        <v>14.778320000000001</v>
      </c>
      <c r="CR32" s="59">
        <f>IF(AV32&gt;0,'Look Ups'!$L$3,0)</f>
        <v>1</v>
      </c>
      <c r="CS32" s="59">
        <f t="shared" si="19"/>
        <v>0</v>
      </c>
      <c r="CT32" s="59">
        <f t="shared" si="20"/>
        <v>0</v>
      </c>
      <c r="CU32" s="59">
        <f t="shared" si="21"/>
        <v>0</v>
      </c>
      <c r="CV32" s="79">
        <f t="shared" si="22"/>
        <v>0</v>
      </c>
      <c r="CW32" s="82" t="str">
        <f t="shared" si="23"/>
        <v>valid</v>
      </c>
      <c r="CX32" s="65" t="str">
        <f t="shared" si="24"/>
        <v>valid</v>
      </c>
      <c r="CY32" s="66" t="str">
        <f t="shared" si="25"/>
        <v>MGScrSp</v>
      </c>
      <c r="CZ32" s="81">
        <f t="shared" si="26"/>
        <v>49.831493999999999</v>
      </c>
      <c r="DA32" s="59">
        <f t="shared" si="27"/>
        <v>20.364403999999993</v>
      </c>
      <c r="DB32" s="59">
        <f t="shared" si="28"/>
        <v>4.1855817500000017</v>
      </c>
      <c r="DC32" s="59">
        <f t="shared" si="29"/>
        <v>20.024997266666659</v>
      </c>
      <c r="DD32" s="59">
        <f t="shared" si="30"/>
        <v>0.65773427500000026</v>
      </c>
      <c r="DE32" s="79">
        <f t="shared" si="31"/>
        <v>52.021178231999997</v>
      </c>
      <c r="DF32" s="83">
        <f t="shared" si="32"/>
        <v>70.514225541666661</v>
      </c>
      <c r="DG32" s="412"/>
    </row>
    <row r="33" spans="2:255" ht="16.5" customHeight="1" x14ac:dyDescent="0.25">
      <c r="B33" s="414"/>
      <c r="C33" s="418" t="s">
        <v>1025</v>
      </c>
      <c r="D33" s="169" t="s">
        <v>1026</v>
      </c>
      <c r="E33" s="170" t="s">
        <v>1027</v>
      </c>
      <c r="F33" s="415">
        <f t="shared" si="0"/>
        <v>0.67990271861317431</v>
      </c>
      <c r="G33" s="415" t="str">
        <f t="shared" ca="1" si="1"/>
        <v>Yes</v>
      </c>
      <c r="H33" s="51" t="str">
        <f t="shared" si="2"/>
        <v>Main - Genoa - Screacher - Spinnaker</v>
      </c>
      <c r="I33" s="171">
        <v>43903</v>
      </c>
      <c r="J33" s="171">
        <v>44616</v>
      </c>
      <c r="K33" s="172" t="s">
        <v>506</v>
      </c>
      <c r="L33" s="172" t="s">
        <v>1031</v>
      </c>
      <c r="M33" s="171"/>
      <c r="N33" s="173" t="s">
        <v>149</v>
      </c>
      <c r="O33" s="173" t="s">
        <v>1030</v>
      </c>
      <c r="P33" s="174">
        <v>6.4</v>
      </c>
      <c r="Q33" s="175">
        <v>11.84</v>
      </c>
      <c r="R33" s="78"/>
      <c r="S33" s="59">
        <f t="shared" si="3"/>
        <v>0.29599999999999999</v>
      </c>
      <c r="T33" s="176"/>
      <c r="U33" s="176">
        <v>0</v>
      </c>
      <c r="V33" s="61">
        <f t="shared" si="33"/>
        <v>11.84</v>
      </c>
      <c r="W33" s="62">
        <f>IF(RL&gt;0,IF(RL&gt;'Look Ups'!R$7,'Look Ups'!R$8,('Look Ups'!R$3*RL^3+'Look Ups'!R$4*RL^2+'Look Ups'!R$5*RL+'Look Ups'!R$6)),0)</f>
        <v>0.29989347763200003</v>
      </c>
      <c r="X33" s="177">
        <v>8968</v>
      </c>
      <c r="Y33" s="178"/>
      <c r="Z33" s="178"/>
      <c r="AA33" s="178"/>
      <c r="AB33" s="65">
        <f t="shared" si="4"/>
        <v>8968</v>
      </c>
      <c r="AC33" s="66">
        <f t="shared" si="5"/>
        <v>8968</v>
      </c>
      <c r="AD33" s="179" t="s">
        <v>662</v>
      </c>
      <c r="AE33" s="180" t="s">
        <v>130</v>
      </c>
      <c r="AF33" s="181" t="s">
        <v>131</v>
      </c>
      <c r="AG33" s="70">
        <f>IF(C33="",0,VLOOKUP(AD33,'Look Ups'!$B$3:$C$6,2,0)*VLOOKUP(AE33,'Look Ups'!$E$3:$F$5,2,0)*VLOOKUP(AF33,'Look Ups'!$H$3:$I$7,2,0))</f>
        <v>0.995</v>
      </c>
      <c r="AH33" s="80">
        <v>14.9</v>
      </c>
      <c r="AI33" s="77">
        <v>14.55</v>
      </c>
      <c r="AJ33" s="77">
        <v>5.6</v>
      </c>
      <c r="AK33" s="77">
        <v>2</v>
      </c>
      <c r="AL33" s="77">
        <v>0.22</v>
      </c>
      <c r="AM33" s="77">
        <v>14.25</v>
      </c>
      <c r="AN33" s="77">
        <v>0.23</v>
      </c>
      <c r="AO33" s="77">
        <v>5.7</v>
      </c>
      <c r="AP33" s="77">
        <v>0.1</v>
      </c>
      <c r="AQ33" s="77"/>
      <c r="AR33" s="77" t="s">
        <v>132</v>
      </c>
      <c r="AS33" s="87"/>
      <c r="AT33" s="59">
        <f t="shared" si="6"/>
        <v>14.35</v>
      </c>
      <c r="AU33" s="59">
        <f t="shared" si="7"/>
        <v>0</v>
      </c>
      <c r="AV33" s="72">
        <f>IF(C33="",0,(0.5*(_ML1*LPM)+0.5*(_ML1*HB)+0.66*(P*PR)+0.66*(_ML2*RDM)+0.66*(E*ER))*VLOOKUP(BATT,'Look Ups'!$N$3:$O$4,2,0))</f>
        <v>61.272009999999995</v>
      </c>
      <c r="AW33" s="182"/>
      <c r="AX33" s="183"/>
      <c r="AY33" s="80">
        <v>13.42</v>
      </c>
      <c r="AZ33" s="77">
        <v>5.7</v>
      </c>
      <c r="BA33" s="77">
        <v>6.25</v>
      </c>
      <c r="BB33" s="77">
        <v>0.06</v>
      </c>
      <c r="BC33" s="77">
        <v>11.9</v>
      </c>
      <c r="BD33" s="77"/>
      <c r="BE33" s="77"/>
      <c r="BF33" s="77">
        <v>-0.18</v>
      </c>
      <c r="BG33" s="77"/>
      <c r="BH33" s="87"/>
      <c r="BI33" s="72">
        <f t="shared" si="8"/>
        <v>37.080780000000004</v>
      </c>
      <c r="BJ33" s="76"/>
      <c r="BK33" s="77"/>
      <c r="BL33" s="78"/>
      <c r="BM33" s="78"/>
      <c r="BN33" s="77"/>
      <c r="BO33" s="78"/>
      <c r="BP33" s="78"/>
      <c r="BQ33" s="79">
        <f t="shared" si="9"/>
        <v>0</v>
      </c>
      <c r="BR33" s="80"/>
      <c r="BS33" s="77"/>
      <c r="BT33" s="77"/>
      <c r="BU33" s="77"/>
      <c r="BV33" s="77"/>
      <c r="BW33" s="77"/>
      <c r="BX33" s="77"/>
      <c r="BY33" s="72">
        <f t="shared" si="10"/>
        <v>0</v>
      </c>
      <c r="BZ33" s="182">
        <v>9.65</v>
      </c>
      <c r="CA33" s="77">
        <v>16.55</v>
      </c>
      <c r="CB33" s="77">
        <v>14</v>
      </c>
      <c r="CC33" s="77">
        <v>7.28</v>
      </c>
      <c r="CD33" s="65">
        <f t="shared" si="11"/>
        <v>75.440414507772019</v>
      </c>
      <c r="CE33" s="77">
        <v>0</v>
      </c>
      <c r="CF33" s="79">
        <f t="shared" si="12"/>
        <v>98.701958333333337</v>
      </c>
      <c r="CG33" s="80">
        <v>9.35</v>
      </c>
      <c r="CH33" s="77">
        <v>14.95</v>
      </c>
      <c r="CI33" s="77">
        <v>12.85</v>
      </c>
      <c r="CJ33" s="77">
        <v>4.71</v>
      </c>
      <c r="CK33" s="59">
        <f t="shared" si="13"/>
        <v>50.37433155080214</v>
      </c>
      <c r="CL33" s="77">
        <v>0</v>
      </c>
      <c r="CM33" s="72">
        <f t="shared" si="14"/>
        <v>65.306833333333316</v>
      </c>
      <c r="CN33" s="81">
        <f t="shared" si="15"/>
        <v>1</v>
      </c>
      <c r="CO33" s="59">
        <f t="shared" si="16"/>
        <v>61.272009999999995</v>
      </c>
      <c r="CP33" s="59">
        <f t="shared" si="17"/>
        <v>1</v>
      </c>
      <c r="CQ33" s="59">
        <f t="shared" si="18"/>
        <v>37.080780000000004</v>
      </c>
      <c r="CR33" s="59">
        <f>IF(AV33&gt;0,'Look Ups'!$L$3,0)</f>
        <v>1</v>
      </c>
      <c r="CS33" s="59">
        <f t="shared" si="19"/>
        <v>0</v>
      </c>
      <c r="CT33" s="59">
        <f t="shared" si="20"/>
        <v>0</v>
      </c>
      <c r="CU33" s="59">
        <f t="shared" si="21"/>
        <v>0</v>
      </c>
      <c r="CV33" s="79">
        <f t="shared" si="22"/>
        <v>0</v>
      </c>
      <c r="CW33" s="82" t="str">
        <f t="shared" si="23"/>
        <v>valid</v>
      </c>
      <c r="CX33" s="65" t="str">
        <f t="shared" si="24"/>
        <v>valid</v>
      </c>
      <c r="CY33" s="66" t="str">
        <f t="shared" si="25"/>
        <v>MGScrSp</v>
      </c>
      <c r="CZ33" s="81">
        <f t="shared" si="26"/>
        <v>98.352789999999999</v>
      </c>
      <c r="DA33" s="59">
        <f t="shared" si="27"/>
        <v>18.4863535</v>
      </c>
      <c r="DB33" s="59">
        <f t="shared" si="28"/>
        <v>9.8791186666666579</v>
      </c>
      <c r="DC33" s="59">
        <f t="shared" si="29"/>
        <v>18.178247608333333</v>
      </c>
      <c r="DD33" s="59">
        <f t="shared" si="30"/>
        <v>1.5524329333333322</v>
      </c>
      <c r="DE33" s="79">
        <f t="shared" si="31"/>
        <v>100.96544283999999</v>
      </c>
      <c r="DF33" s="83">
        <f t="shared" si="32"/>
        <v>118.08347054166667</v>
      </c>
      <c r="DG33" s="412"/>
    </row>
    <row r="34" spans="2:255" ht="16.5" customHeight="1" x14ac:dyDescent="0.25">
      <c r="B34" s="414"/>
      <c r="C34" s="414" t="s">
        <v>861</v>
      </c>
      <c r="D34" s="48" t="s">
        <v>167</v>
      </c>
      <c r="E34" s="49" t="s">
        <v>857</v>
      </c>
      <c r="F34" s="415">
        <f t="shared" si="0"/>
        <v>1.020691195784549</v>
      </c>
      <c r="G34" s="415" t="str">
        <f t="shared" ca="1" si="1"/>
        <v>No</v>
      </c>
      <c r="H34" s="51" t="str">
        <f t="shared" si="2"/>
        <v>Main - Genoa - Spinnaker</v>
      </c>
      <c r="I34" s="52">
        <v>39355</v>
      </c>
      <c r="J34" s="52">
        <v>43870</v>
      </c>
      <c r="K34" s="53" t="s">
        <v>1002</v>
      </c>
      <c r="L34" s="53" t="s">
        <v>299</v>
      </c>
      <c r="M34" s="54"/>
      <c r="N34" s="55" t="s">
        <v>127</v>
      </c>
      <c r="O34" s="55" t="s">
        <v>138</v>
      </c>
      <c r="P34" s="56"/>
      <c r="Q34" s="57">
        <v>8.06</v>
      </c>
      <c r="R34" s="58"/>
      <c r="S34" s="59">
        <f t="shared" si="3"/>
        <v>0.20150000000000001</v>
      </c>
      <c r="T34" s="60">
        <v>9.5000000000000001E-2</v>
      </c>
      <c r="U34" s="60">
        <v>0.12</v>
      </c>
      <c r="V34" s="61">
        <f t="shared" si="33"/>
        <v>7.8450000000000006</v>
      </c>
      <c r="W34" s="62">
        <f>IF(RL&gt;0,IF(RL&gt;'Look Ups'!R$7,'Look Ups'!R$8,('Look Ups'!R$3*RL^3+'Look Ups'!R$4*RL^2+'Look Ups'!R$5*RL+'Look Ups'!R$6)),0)</f>
        <v>0.29324868991212505</v>
      </c>
      <c r="X34" s="63">
        <v>880</v>
      </c>
      <c r="Y34" s="58"/>
      <c r="Z34" s="64"/>
      <c r="AA34" s="64"/>
      <c r="AB34" s="65">
        <f t="shared" si="4"/>
        <v>880</v>
      </c>
      <c r="AC34" s="66">
        <f t="shared" si="5"/>
        <v>880</v>
      </c>
      <c r="AD34" s="67" t="s">
        <v>129</v>
      </c>
      <c r="AE34" s="68" t="s">
        <v>130</v>
      </c>
      <c r="AF34" s="69" t="s">
        <v>131</v>
      </c>
      <c r="AG34" s="70">
        <f>IF(C34="",0,VLOOKUP(AD34,'Look Ups'!$B$3:$C$6,2,0)*VLOOKUP(AE34,'Look Ups'!$E$3:$F$5,2,0)*VLOOKUP(AF34,'Look Ups'!$H$3:$I$7,2,0))</f>
        <v>1</v>
      </c>
      <c r="AH34" s="71">
        <v>11.45</v>
      </c>
      <c r="AI34" s="60">
        <v>11.2</v>
      </c>
      <c r="AJ34" s="60">
        <v>3.32</v>
      </c>
      <c r="AK34" s="60">
        <v>1.34</v>
      </c>
      <c r="AL34" s="60">
        <v>0.32</v>
      </c>
      <c r="AM34" s="60">
        <v>11.63</v>
      </c>
      <c r="AN34" s="60">
        <v>0.13</v>
      </c>
      <c r="AO34" s="60">
        <v>3.36</v>
      </c>
      <c r="AP34" s="60">
        <v>0.02</v>
      </c>
      <c r="AQ34" s="60">
        <v>0.53</v>
      </c>
      <c r="AR34" s="60" t="s">
        <v>132</v>
      </c>
      <c r="AS34" s="75">
        <v>0</v>
      </c>
      <c r="AT34" s="59">
        <f t="shared" si="6"/>
        <v>11.65</v>
      </c>
      <c r="AU34" s="59">
        <f t="shared" si="7"/>
        <v>2.3114625000000002</v>
      </c>
      <c r="AV34" s="72">
        <f>IF(C34="",0,(0.5*(_ML1*LPM)+0.5*(_ML1*HB)+0.66*(P*PR)+0.66*(_ML2*RDM)+0.66*(E*ER))*VLOOKUP(BATT,'Look Ups'!$N$3:$O$4,2,0))</f>
        <v>30.086145999999999</v>
      </c>
      <c r="AW34" s="73"/>
      <c r="AX34" s="74"/>
      <c r="AY34" s="71">
        <v>10.039999999999999</v>
      </c>
      <c r="AZ34" s="60">
        <v>3.0950000000000002</v>
      </c>
      <c r="BA34" s="60">
        <v>3.44</v>
      </c>
      <c r="BB34" s="60">
        <v>0.21</v>
      </c>
      <c r="BC34" s="60">
        <v>8.91</v>
      </c>
      <c r="BD34" s="60"/>
      <c r="BE34" s="60"/>
      <c r="BF34" s="60">
        <v>0.11</v>
      </c>
      <c r="BG34" s="60">
        <v>0.06</v>
      </c>
      <c r="BH34" s="75" t="s">
        <v>1003</v>
      </c>
      <c r="BI34" s="72">
        <f t="shared" si="8"/>
        <v>17.058133999999999</v>
      </c>
      <c r="BJ34" s="76"/>
      <c r="BK34" s="77"/>
      <c r="BL34" s="78"/>
      <c r="BM34" s="78"/>
      <c r="BN34" s="77"/>
      <c r="BO34" s="78"/>
      <c r="BP34" s="78"/>
      <c r="BQ34" s="79">
        <f t="shared" si="9"/>
        <v>0</v>
      </c>
      <c r="BR34" s="80"/>
      <c r="BS34" s="77"/>
      <c r="BT34" s="77"/>
      <c r="BU34" s="77"/>
      <c r="BV34" s="77"/>
      <c r="BW34" s="77"/>
      <c r="BX34" s="77"/>
      <c r="BY34" s="72">
        <f t="shared" si="10"/>
        <v>0</v>
      </c>
      <c r="BZ34" s="73">
        <v>7.34</v>
      </c>
      <c r="CA34" s="60">
        <v>14.14</v>
      </c>
      <c r="CB34" s="60">
        <v>12.26</v>
      </c>
      <c r="CC34" s="60">
        <v>7.43</v>
      </c>
      <c r="CD34" s="65">
        <f t="shared" si="11"/>
        <v>101.22615803814713</v>
      </c>
      <c r="CE34" s="60">
        <v>0</v>
      </c>
      <c r="CF34" s="79">
        <f t="shared" si="12"/>
        <v>81.531999999999996</v>
      </c>
      <c r="CG34" s="71"/>
      <c r="CH34" s="60"/>
      <c r="CI34" s="60"/>
      <c r="CJ34" s="60"/>
      <c r="CK34" s="59" t="str">
        <f t="shared" si="13"/>
        <v/>
      </c>
      <c r="CL34" s="60">
        <v>0</v>
      </c>
      <c r="CM34" s="72">
        <f t="shared" si="14"/>
        <v>0</v>
      </c>
      <c r="CN34" s="81">
        <f t="shared" si="15"/>
        <v>1</v>
      </c>
      <c r="CO34" s="59">
        <f t="shared" si="16"/>
        <v>32.397608499999997</v>
      </c>
      <c r="CP34" s="59">
        <f t="shared" si="17"/>
        <v>1</v>
      </c>
      <c r="CQ34" s="59">
        <f t="shared" si="18"/>
        <v>17.058133999999999</v>
      </c>
      <c r="CR34" s="59">
        <f>IF(AV34&gt;0,'Look Ups'!$L$3,0)</f>
        <v>1</v>
      </c>
      <c r="CS34" s="59">
        <f t="shared" si="19"/>
        <v>0</v>
      </c>
      <c r="CT34" s="59">
        <f t="shared" si="20"/>
        <v>0</v>
      </c>
      <c r="CU34" s="59">
        <f t="shared" si="21"/>
        <v>0</v>
      </c>
      <c r="CV34" s="79">
        <f t="shared" si="22"/>
        <v>0</v>
      </c>
      <c r="CW34" s="82" t="str">
        <f t="shared" si="23"/>
        <v>-</v>
      </c>
      <c r="CX34" s="65" t="str">
        <f t="shared" si="24"/>
        <v>valid</v>
      </c>
      <c r="CY34" s="66" t="str">
        <f t="shared" si="25"/>
        <v>MGSp</v>
      </c>
      <c r="CZ34" s="81">
        <f t="shared" si="26"/>
        <v>49.455742499999999</v>
      </c>
      <c r="DA34" s="59">
        <f t="shared" si="27"/>
        <v>19.342159800000001</v>
      </c>
      <c r="DB34" s="59">
        <f t="shared" si="28"/>
        <v>0</v>
      </c>
      <c r="DC34" s="59">
        <f t="shared" si="29"/>
        <v>19.01979047</v>
      </c>
      <c r="DD34" s="59">
        <f t="shared" si="30"/>
        <v>0</v>
      </c>
      <c r="DE34" s="79">
        <f t="shared" si="31"/>
        <v>51.112405746</v>
      </c>
      <c r="DF34" s="83">
        <f t="shared" si="32"/>
        <v>68.797902300000004</v>
      </c>
      <c r="DG34" s="412"/>
    </row>
    <row r="35" spans="2:255" ht="16.5" customHeight="1" x14ac:dyDescent="0.25">
      <c r="B35" s="414"/>
      <c r="C35" s="418" t="s">
        <v>1071</v>
      </c>
      <c r="D35" s="169" t="s">
        <v>1072</v>
      </c>
      <c r="E35" s="170" t="s">
        <v>1073</v>
      </c>
      <c r="F35" s="415">
        <f t="shared" si="0"/>
        <v>1.0165045449004253</v>
      </c>
      <c r="G35" s="415" t="str">
        <f t="shared" ca="1" si="1"/>
        <v>Yes</v>
      </c>
      <c r="H35" s="51" t="str">
        <f t="shared" si="2"/>
        <v>Main - Genoa - Screacher - Spinnaker</v>
      </c>
      <c r="I35" s="171">
        <v>44643</v>
      </c>
      <c r="J35" s="171">
        <v>44508</v>
      </c>
      <c r="K35" s="172" t="s">
        <v>239</v>
      </c>
      <c r="L35" s="172" t="s">
        <v>299</v>
      </c>
      <c r="M35" s="171"/>
      <c r="N35" s="87" t="s">
        <v>537</v>
      </c>
      <c r="O35" s="87"/>
      <c r="P35" s="174">
        <v>5.5</v>
      </c>
      <c r="Q35" s="175">
        <v>8.8800000000000008</v>
      </c>
      <c r="R35" s="78"/>
      <c r="S35" s="59"/>
      <c r="T35" s="176"/>
      <c r="U35" s="176">
        <v>0</v>
      </c>
      <c r="V35" s="61">
        <f t="shared" si="33"/>
        <v>8.8800000000000008</v>
      </c>
      <c r="W35" s="62">
        <f>IF(RL&gt;0,IF(RL&gt;'Look Ups'!R$7,'Look Ups'!R$8,('Look Ups'!R$3*RL^3+'Look Ups'!R$4*RL^2+'Look Ups'!R$5*RL+'Look Ups'!R$6)),0)</f>
        <v>0.29637133337600002</v>
      </c>
      <c r="X35" s="177">
        <v>1275</v>
      </c>
      <c r="Y35" s="178"/>
      <c r="Z35" s="178"/>
      <c r="AA35" s="178"/>
      <c r="AB35" s="65">
        <f t="shared" si="4"/>
        <v>1275</v>
      </c>
      <c r="AC35" s="66">
        <f t="shared" si="5"/>
        <v>1275</v>
      </c>
      <c r="AD35" s="179" t="s">
        <v>129</v>
      </c>
      <c r="AE35" s="180" t="s">
        <v>130</v>
      </c>
      <c r="AF35" s="181" t="s">
        <v>131</v>
      </c>
      <c r="AG35" s="70">
        <f>IF(C35="",0,VLOOKUP(AD35,'Look Ups'!$B$3:$C$6,2,0)*VLOOKUP(AE35,'Look Ups'!$E$3:$F$5,2,0)*VLOOKUP(AF35,'Look Ups'!$H$3:$I$7,2,0))</f>
        <v>1</v>
      </c>
      <c r="AH35" s="80">
        <v>13.55</v>
      </c>
      <c r="AI35" s="77">
        <v>13.45</v>
      </c>
      <c r="AJ35" s="77">
        <v>3.68</v>
      </c>
      <c r="AK35" s="77">
        <v>1.68</v>
      </c>
      <c r="AL35" s="77">
        <v>0.19</v>
      </c>
      <c r="AM35" s="77">
        <v>13.55</v>
      </c>
      <c r="AN35" s="77">
        <v>0.09</v>
      </c>
      <c r="AO35" s="77">
        <v>3.7</v>
      </c>
      <c r="AP35" s="77">
        <v>0</v>
      </c>
      <c r="AQ35" s="77">
        <v>0.625</v>
      </c>
      <c r="AR35" s="77" t="s">
        <v>132</v>
      </c>
      <c r="AS35" s="87">
        <v>0</v>
      </c>
      <c r="AT35" s="59">
        <f t="shared" si="6"/>
        <v>13.55</v>
      </c>
      <c r="AU35" s="59">
        <f t="shared" si="7"/>
        <v>3.1757812500000004</v>
      </c>
      <c r="AV35" s="72">
        <f>IF(C35="",0,(0.5*(_ML1*LPM)+0.5*(_ML1*HB)+0.66*(P*PR)+0.66*(_ML2*RDM)+0.66*(E*ER))*VLOOKUP(BATT,'Look Ups'!$N$3:$O$4,2,0))</f>
        <v>38.805500000000002</v>
      </c>
      <c r="AW35" s="182"/>
      <c r="AX35" s="183"/>
      <c r="AY35" s="80">
        <v>11.84</v>
      </c>
      <c r="AZ35" s="77">
        <v>3.2</v>
      </c>
      <c r="BA35" s="77">
        <v>3.47</v>
      </c>
      <c r="BB35" s="77">
        <v>0.13</v>
      </c>
      <c r="BC35" s="77">
        <v>11.03</v>
      </c>
      <c r="BD35" s="77">
        <v>10.97</v>
      </c>
      <c r="BE35" s="77">
        <v>0.27</v>
      </c>
      <c r="BF35" s="77">
        <v>0.15</v>
      </c>
      <c r="BG35" s="77">
        <v>-0.04</v>
      </c>
      <c r="BH35" s="87"/>
      <c r="BI35" s="72">
        <f t="shared" si="8"/>
        <v>21.50423</v>
      </c>
      <c r="BJ35" s="76"/>
      <c r="BK35" s="77"/>
      <c r="BL35" s="78"/>
      <c r="BM35" s="78"/>
      <c r="BN35" s="77"/>
      <c r="BO35" s="78"/>
      <c r="BP35" s="78"/>
      <c r="BQ35" s="79">
        <f t="shared" si="9"/>
        <v>0</v>
      </c>
      <c r="BR35" s="80"/>
      <c r="BS35" s="77"/>
      <c r="BT35" s="77"/>
      <c r="BU35" s="77"/>
      <c r="BV35" s="77"/>
      <c r="BW35" s="77"/>
      <c r="BX35" s="77"/>
      <c r="BY35" s="72">
        <f t="shared" si="10"/>
        <v>0</v>
      </c>
      <c r="BZ35" s="182">
        <v>8.5399999999999991</v>
      </c>
      <c r="CA35" s="77">
        <v>15.33</v>
      </c>
      <c r="CB35" s="77">
        <v>13.91</v>
      </c>
      <c r="CC35" s="77">
        <v>6.43</v>
      </c>
      <c r="CD35" s="65">
        <f t="shared" si="11"/>
        <v>75.292740046838418</v>
      </c>
      <c r="CE35" s="77"/>
      <c r="CF35" s="79">
        <f t="shared" si="12"/>
        <v>83.480199999999996</v>
      </c>
      <c r="CG35" s="80">
        <v>5.64</v>
      </c>
      <c r="CH35" s="77">
        <v>13.5</v>
      </c>
      <c r="CI35" s="77">
        <v>12.43</v>
      </c>
      <c r="CJ35" s="77">
        <v>2.87</v>
      </c>
      <c r="CK35" s="59">
        <f t="shared" si="13"/>
        <v>50.886524822695044</v>
      </c>
      <c r="CL35" s="77">
        <v>0</v>
      </c>
      <c r="CM35" s="72">
        <f t="shared" si="14"/>
        <v>36.993466666666663</v>
      </c>
      <c r="CN35" s="81">
        <f t="shared" si="15"/>
        <v>1</v>
      </c>
      <c r="CO35" s="59">
        <f t="shared" si="16"/>
        <v>41.981281250000002</v>
      </c>
      <c r="CP35" s="59">
        <f t="shared" si="17"/>
        <v>1</v>
      </c>
      <c r="CQ35" s="59">
        <f t="shared" si="18"/>
        <v>21.50423</v>
      </c>
      <c r="CR35" s="59">
        <f>IF(AV35&gt;0,'Look Ups'!$L$3,0)</f>
        <v>1</v>
      </c>
      <c r="CS35" s="59">
        <f t="shared" si="19"/>
        <v>0</v>
      </c>
      <c r="CT35" s="59">
        <f t="shared" si="20"/>
        <v>0</v>
      </c>
      <c r="CU35" s="59">
        <f t="shared" si="21"/>
        <v>0</v>
      </c>
      <c r="CV35" s="79">
        <f t="shared" si="22"/>
        <v>0</v>
      </c>
      <c r="CW35" s="82" t="str">
        <f t="shared" si="23"/>
        <v>valid</v>
      </c>
      <c r="CX35" s="65" t="str">
        <f t="shared" si="24"/>
        <v>valid</v>
      </c>
      <c r="CY35" s="66" t="str">
        <f t="shared" si="25"/>
        <v>MGScrSp</v>
      </c>
      <c r="CZ35" s="81">
        <f t="shared" si="26"/>
        <v>63.485511250000002</v>
      </c>
      <c r="DA35" s="59">
        <f t="shared" si="27"/>
        <v>18.592790999999998</v>
      </c>
      <c r="DB35" s="59">
        <f t="shared" si="28"/>
        <v>5.4212328333333319</v>
      </c>
      <c r="DC35" s="59">
        <f t="shared" si="29"/>
        <v>18.282911149999997</v>
      </c>
      <c r="DD35" s="59">
        <f t="shared" si="30"/>
        <v>0.85190801666666649</v>
      </c>
      <c r="DE35" s="79">
        <f t="shared" si="31"/>
        <v>65.697032785000005</v>
      </c>
      <c r="DF35" s="83">
        <f t="shared" si="32"/>
        <v>82.620330416666661</v>
      </c>
      <c r="DG35" s="412"/>
    </row>
    <row r="36" spans="2:255" ht="16.5" customHeight="1" x14ac:dyDescent="0.25">
      <c r="B36" s="418"/>
      <c r="C36" s="418" t="s">
        <v>927</v>
      </c>
      <c r="D36" s="169" t="s">
        <v>763</v>
      </c>
      <c r="E36" s="170" t="s">
        <v>924</v>
      </c>
      <c r="F36" s="415">
        <f t="shared" si="0"/>
        <v>0.80516739439790896</v>
      </c>
      <c r="G36" s="415" t="str">
        <f t="shared" ca="1" si="1"/>
        <v>Yes</v>
      </c>
      <c r="H36" s="51" t="str">
        <f t="shared" si="2"/>
        <v>Main - Genoa - Screacher - Spinnaker</v>
      </c>
      <c r="I36" s="171">
        <v>43142</v>
      </c>
      <c r="J36" s="171">
        <v>43142</v>
      </c>
      <c r="K36" s="172" t="s">
        <v>925</v>
      </c>
      <c r="L36" s="172" t="s">
        <v>841</v>
      </c>
      <c r="M36" s="171"/>
      <c r="N36" s="87" t="s">
        <v>127</v>
      </c>
      <c r="O36" s="87" t="s">
        <v>128</v>
      </c>
      <c r="P36" s="186">
        <v>5.9</v>
      </c>
      <c r="Q36" s="175">
        <v>9.42</v>
      </c>
      <c r="R36" s="78"/>
      <c r="S36" s="59">
        <f t="shared" ref="S36:S67" si="34">IF((LOAA&gt;LOA),0.025*LOAA,0.025*LOA)</f>
        <v>0.23550000000000001</v>
      </c>
      <c r="T36" s="176">
        <v>0.05</v>
      </c>
      <c r="U36" s="176">
        <v>0</v>
      </c>
      <c r="V36" s="61">
        <f t="shared" si="33"/>
        <v>9.3699999999999992</v>
      </c>
      <c r="W36" s="62">
        <f>IF(RL&gt;0,IF(RL&gt;'Look Ups'!R$7,'Look Ups'!R$8,('Look Ups'!R$3*RL^3+'Look Ups'!R$4*RL^2+'Look Ups'!R$5*RL+'Look Ups'!R$6)),0)</f>
        <v>0.29744701944900004</v>
      </c>
      <c r="X36" s="177">
        <v>2620</v>
      </c>
      <c r="Y36" s="178"/>
      <c r="Z36" s="178"/>
      <c r="AA36" s="178"/>
      <c r="AB36" s="65">
        <f t="shared" si="4"/>
        <v>2620</v>
      </c>
      <c r="AC36" s="66">
        <f t="shared" si="5"/>
        <v>2620</v>
      </c>
      <c r="AD36" s="179" t="s">
        <v>129</v>
      </c>
      <c r="AE36" s="180" t="s">
        <v>130</v>
      </c>
      <c r="AF36" s="181" t="s">
        <v>131</v>
      </c>
      <c r="AG36" s="70">
        <f>IF(C36="",0,VLOOKUP(AD36,'Look Ups'!$B$3:$C$6,2,0)*VLOOKUP(AE36,'Look Ups'!$E$3:$F$5,2,0)*VLOOKUP(AF36,'Look Ups'!$H$3:$I$7,2,0))</f>
        <v>1</v>
      </c>
      <c r="AH36" s="80">
        <v>12.045</v>
      </c>
      <c r="AI36" s="77">
        <v>12.09</v>
      </c>
      <c r="AJ36" s="77">
        <v>4.2549999999999999</v>
      </c>
      <c r="AK36" s="77">
        <v>1.375</v>
      </c>
      <c r="AL36" s="77">
        <v>0.43</v>
      </c>
      <c r="AM36" s="77">
        <v>11.512</v>
      </c>
      <c r="AN36" s="77">
        <v>0.16</v>
      </c>
      <c r="AO36" s="77">
        <v>4.4400000000000004</v>
      </c>
      <c r="AP36" s="77">
        <v>0.04</v>
      </c>
      <c r="AQ36" s="77">
        <v>0.56000000000000005</v>
      </c>
      <c r="AR36" s="77" t="s">
        <v>132</v>
      </c>
      <c r="AS36" s="87">
        <v>0</v>
      </c>
      <c r="AT36" s="59">
        <f t="shared" si="6"/>
        <v>11.552</v>
      </c>
      <c r="AU36" s="59">
        <f t="shared" si="7"/>
        <v>2.4175200000000001</v>
      </c>
      <c r="AV36" s="72">
        <f>IF(C36="",0,(0.5*(_ML1*LPM)+0.5*(_ML1*HB)+0.66*(P*PR)+0.66*(_ML2*RDM)+0.66*(E*ER))*VLOOKUP(BATT,'Look Ups'!$N$3:$O$4,2,0))</f>
        <v>38.670700199999999</v>
      </c>
      <c r="AW36" s="182"/>
      <c r="AX36" s="183"/>
      <c r="AY36" s="80">
        <v>10.44</v>
      </c>
      <c r="AZ36" s="77">
        <v>3.1880000000000002</v>
      </c>
      <c r="BA36" s="77">
        <v>4.17</v>
      </c>
      <c r="BB36" s="77">
        <v>7.0000000000000007E-2</v>
      </c>
      <c r="BC36" s="77">
        <v>9.3800000000000008</v>
      </c>
      <c r="BD36" s="77"/>
      <c r="BE36" s="77"/>
      <c r="BF36" s="77">
        <v>-7.8E-2</v>
      </c>
      <c r="BG36" s="77">
        <v>0.105</v>
      </c>
      <c r="BH36" s="87"/>
      <c r="BI36" s="72">
        <f t="shared" si="8"/>
        <v>17.074623599999999</v>
      </c>
      <c r="BJ36" s="76"/>
      <c r="BK36" s="77"/>
      <c r="BL36" s="78"/>
      <c r="BM36" s="78"/>
      <c r="BN36" s="77"/>
      <c r="BO36" s="78"/>
      <c r="BP36" s="78"/>
      <c r="BQ36" s="79">
        <f t="shared" si="9"/>
        <v>0</v>
      </c>
      <c r="BR36" s="80"/>
      <c r="BS36" s="77"/>
      <c r="BT36" s="77"/>
      <c r="BU36" s="77"/>
      <c r="BV36" s="77"/>
      <c r="BW36" s="77"/>
      <c r="BX36" s="77"/>
      <c r="BY36" s="72">
        <f t="shared" si="10"/>
        <v>0</v>
      </c>
      <c r="BZ36" s="182">
        <v>8.6199999999999992</v>
      </c>
      <c r="CA36" s="77">
        <v>13.78</v>
      </c>
      <c r="CB36" s="77">
        <v>12.18</v>
      </c>
      <c r="CC36" s="77">
        <v>7.48</v>
      </c>
      <c r="CD36" s="65">
        <f t="shared" si="11"/>
        <v>86.77494199535964</v>
      </c>
      <c r="CE36" s="77">
        <v>0</v>
      </c>
      <c r="CF36" s="79">
        <f t="shared" si="12"/>
        <v>83.374866666666676</v>
      </c>
      <c r="CG36" s="80">
        <v>7.58</v>
      </c>
      <c r="CH36" s="77">
        <v>11.79</v>
      </c>
      <c r="CI36" s="77">
        <v>10.62</v>
      </c>
      <c r="CJ36" s="77">
        <v>3.79</v>
      </c>
      <c r="CK36" s="59">
        <f t="shared" si="13"/>
        <v>50</v>
      </c>
      <c r="CL36" s="77">
        <v>0</v>
      </c>
      <c r="CM36" s="72">
        <f t="shared" si="14"/>
        <v>42.466949999999997</v>
      </c>
      <c r="CN36" s="81">
        <f t="shared" si="15"/>
        <v>1</v>
      </c>
      <c r="CO36" s="59">
        <f t="shared" si="16"/>
        <v>41.088220200000002</v>
      </c>
      <c r="CP36" s="59">
        <f t="shared" si="17"/>
        <v>1</v>
      </c>
      <c r="CQ36" s="59">
        <f t="shared" si="18"/>
        <v>17.074623599999999</v>
      </c>
      <c r="CR36" s="59">
        <f>IF(AV36&gt;0,'Look Ups'!$L$3,0)</f>
        <v>1</v>
      </c>
      <c r="CS36" s="59">
        <f t="shared" si="19"/>
        <v>0</v>
      </c>
      <c r="CT36" s="59">
        <f t="shared" si="20"/>
        <v>0</v>
      </c>
      <c r="CU36" s="59">
        <f t="shared" si="21"/>
        <v>0</v>
      </c>
      <c r="CV36" s="79">
        <f t="shared" si="22"/>
        <v>0</v>
      </c>
      <c r="CW36" s="82" t="str">
        <f t="shared" si="23"/>
        <v>valid</v>
      </c>
      <c r="CX36" s="65" t="str">
        <f t="shared" si="24"/>
        <v>valid</v>
      </c>
      <c r="CY36" s="66" t="str">
        <f t="shared" si="25"/>
        <v>MGScrSp</v>
      </c>
      <c r="CZ36" s="81">
        <f t="shared" si="26"/>
        <v>58.162843800000005</v>
      </c>
      <c r="DA36" s="59">
        <f t="shared" si="27"/>
        <v>19.890072920000005</v>
      </c>
      <c r="DB36" s="59">
        <f t="shared" si="28"/>
        <v>8.8873142399999985</v>
      </c>
      <c r="DC36" s="59">
        <f t="shared" si="29"/>
        <v>19.558571704666669</v>
      </c>
      <c r="DD36" s="59">
        <f t="shared" si="30"/>
        <v>1.3965779519999999</v>
      </c>
      <c r="DE36" s="79">
        <f t="shared" si="31"/>
        <v>60.756312232800006</v>
      </c>
      <c r="DF36" s="83">
        <f t="shared" si="32"/>
        <v>79.117993456666682</v>
      </c>
      <c r="DG36" s="412"/>
    </row>
    <row r="37" spans="2:255" ht="16.5" customHeight="1" x14ac:dyDescent="0.3">
      <c r="B37" s="414"/>
      <c r="C37" s="414" t="s">
        <v>902</v>
      </c>
      <c r="D37" s="48" t="s">
        <v>235</v>
      </c>
      <c r="E37" s="49" t="s">
        <v>870</v>
      </c>
      <c r="F37" s="415">
        <f t="shared" ref="F37:F68" si="35">IF(RW=0,0,DLF*(0.93*RL^LF*RSA^0.4/RW^0.325))</f>
        <v>0.89971043122371852</v>
      </c>
      <c r="G37" s="415" t="str">
        <f t="shared" ref="G37:G68" ca="1" si="36">IF(F37&gt;0,IF(OR(TODAY()-3650&gt;I37,CW37="ERROR",CX37="ERROR"),"No","Yes"),0)</f>
        <v>Yes</v>
      </c>
      <c r="H37" s="51" t="str">
        <f t="shared" ref="H37:H68" si="37">IF(CY37="","",IF(CY37="MG","Main - Genoa",IF(CY37="MGScr","Main - Genoa - Screacher",IF(CY37="MGSp","Main - Genoa - Spinnaker",IF(CY37="MGScrSp","Main - Genoa - Screacher - Spinnaker","Invalid"))))&amp;IF(AS&gt;0," - Staysail ","")&amp;IF(AD&gt;0," - Drifter","")&amp;IF(RSAMZ&gt;0," - Mizzen","")&amp;IF(RSA2M&gt;0," - Bi-Rig",""))</f>
        <v>Main - Genoa - Screacher - Spinnaker</v>
      </c>
      <c r="I37" s="52">
        <v>43007</v>
      </c>
      <c r="J37" s="52">
        <v>44903</v>
      </c>
      <c r="K37" s="53" t="s">
        <v>1110</v>
      </c>
      <c r="L37" s="53" t="s">
        <v>614</v>
      </c>
      <c r="M37" s="54"/>
      <c r="N37" s="55" t="s">
        <v>127</v>
      </c>
      <c r="O37" s="55" t="s">
        <v>128</v>
      </c>
      <c r="P37" s="56"/>
      <c r="Q37" s="57">
        <v>7.24</v>
      </c>
      <c r="R37" s="58"/>
      <c r="S37" s="59">
        <f t="shared" si="34"/>
        <v>0.18100000000000002</v>
      </c>
      <c r="T37" s="60"/>
      <c r="U37" s="60"/>
      <c r="V37" s="61">
        <f t="shared" si="33"/>
        <v>7.24</v>
      </c>
      <c r="W37" s="62">
        <f>IF(RL&gt;0,IF(RL&gt;'Look Ups'!R$7,'Look Ups'!R$8,('Look Ups'!R$3*RL^3+'Look Ups'!R$4*RL^2+'Look Ups'!R$5*RL+'Look Ups'!R$6)),0)</f>
        <v>0.29081897299199999</v>
      </c>
      <c r="X37" s="63">
        <v>920</v>
      </c>
      <c r="Y37" s="64"/>
      <c r="Z37" s="367"/>
      <c r="AA37" s="417"/>
      <c r="AB37" s="65">
        <f t="shared" ref="AB37:AB68" si="38">WM+WE</f>
        <v>920</v>
      </c>
      <c r="AC37" s="66">
        <f t="shared" ref="AC37:AC68" si="39">WS+WCD+4*NC</f>
        <v>920</v>
      </c>
      <c r="AD37" s="67" t="s">
        <v>129</v>
      </c>
      <c r="AE37" s="68" t="s">
        <v>130</v>
      </c>
      <c r="AF37" s="69" t="s">
        <v>131</v>
      </c>
      <c r="AG37" s="70">
        <f>IF(C37="",0,VLOOKUP(AD37,'Look Ups'!$B$3:$C$6,2,0)*VLOOKUP(AE37,'Look Ups'!$E$3:$F$5,2,0)*VLOOKUP(AF37,'Look Ups'!$H$3:$I$7,2,0))</f>
        <v>1</v>
      </c>
      <c r="AH37" s="71">
        <v>10.38</v>
      </c>
      <c r="AI37" s="60">
        <v>10.131</v>
      </c>
      <c r="AJ37" s="60">
        <v>3.04</v>
      </c>
      <c r="AK37" s="60">
        <v>1.0580000000000001</v>
      </c>
      <c r="AL37" s="60">
        <v>0.43</v>
      </c>
      <c r="AM37" s="60">
        <v>10.109</v>
      </c>
      <c r="AN37" s="60">
        <v>6.2E-2</v>
      </c>
      <c r="AO37" s="60">
        <v>3.1160000000000001</v>
      </c>
      <c r="AP37" s="60">
        <v>4.0000000000000001E-3</v>
      </c>
      <c r="AQ37" s="60">
        <v>0.49</v>
      </c>
      <c r="AR37" s="60" t="s">
        <v>132</v>
      </c>
      <c r="AS37" s="75"/>
      <c r="AT37" s="59">
        <f t="shared" ref="AT37:AT68" si="40">P+ER</f>
        <v>10.113</v>
      </c>
      <c r="AU37" s="59">
        <f t="shared" ref="AU37:AU68" si="41">P*0.375*MC</f>
        <v>1.85752875</v>
      </c>
      <c r="AV37" s="72">
        <f>IF(C37="",0,(0.5*(_ML1*LPM)+0.5*(_ML1*HB)+0.66*(P*PR)+0.66*(_ML2*RDM)+0.66*(E*ER))*VLOOKUP(BATT,'Look Ups'!$N$3:$O$4,2,0))</f>
        <v>24.565684319999999</v>
      </c>
      <c r="AW37" s="73"/>
      <c r="AX37" s="74"/>
      <c r="AY37" s="71">
        <v>9.43</v>
      </c>
      <c r="AZ37" s="60">
        <v>2.6560000000000001</v>
      </c>
      <c r="BA37" s="60">
        <v>3.0009999999999999</v>
      </c>
      <c r="BB37" s="60">
        <v>0.11799999999999999</v>
      </c>
      <c r="BC37" s="60">
        <v>8.3569999999999993</v>
      </c>
      <c r="BD37" s="60">
        <v>8.3369999999999997</v>
      </c>
      <c r="BE37" s="60">
        <v>5.8000000000000003E-2</v>
      </c>
      <c r="BF37" s="60">
        <v>0.127</v>
      </c>
      <c r="BG37" s="60">
        <v>5.2999999999999999E-2</v>
      </c>
      <c r="BH37" s="75"/>
      <c r="BI37" s="72">
        <f t="shared" ref="BI37:BI68" si="42">(0.5*LL*LPG)+(0.5*_LG1*HG)+(0.66*LL*LLRG)+(0.66*FG*FRG)+(IF((HG&gt;0),(0.66*_LG2*LRG),(0.66*_LG1*LRG)))</f>
        <v>14.02777962</v>
      </c>
      <c r="BJ37" s="76"/>
      <c r="BK37" s="77"/>
      <c r="BL37" s="78"/>
      <c r="BM37" s="78"/>
      <c r="BN37" s="77"/>
      <c r="BO37" s="78"/>
      <c r="BP37" s="78"/>
      <c r="BQ37" s="79">
        <f t="shared" ref="BQ37:BQ63" si="43">(0.5*LLS*LPS)+(0.66*LLS*LLRS)+(0.66*LS*LRS)+(0.66*FS*FRS)</f>
        <v>0</v>
      </c>
      <c r="BR37" s="80"/>
      <c r="BS37" s="77"/>
      <c r="BT37" s="77"/>
      <c r="BU37" s="77"/>
      <c r="BV37" s="77"/>
      <c r="BW37" s="77"/>
      <c r="BX37" s="77"/>
      <c r="BY37" s="72">
        <f t="shared" ref="BY37:BY63" si="44">(0.5*LLD*LPD)+(0.66*LLD*LLRD)+(0.66*LCHD*LRD)+(0.66*FD*FRD)</f>
        <v>0</v>
      </c>
      <c r="BZ37" s="73">
        <v>7.1</v>
      </c>
      <c r="CA37" s="60">
        <v>12.55</v>
      </c>
      <c r="CB37" s="60">
        <v>11.58</v>
      </c>
      <c r="CC37" s="60">
        <v>6.0549999999999997</v>
      </c>
      <c r="CD37" s="65">
        <f t="shared" ref="CD37:CD68" si="45">IF(SF&gt;0,SMG/SF*100,"")</f>
        <v>85.281690140845072</v>
      </c>
      <c r="CE37" s="60"/>
      <c r="CF37" s="79">
        <f t="shared" ref="CF37:CF72" si="46">SF*(_SL1+_SL2)/4+(SMG-SF/2)*(_SL1+_SL2)/3</f>
        <v>62.979300000000002</v>
      </c>
      <c r="CG37" s="71">
        <v>6.1580000000000004</v>
      </c>
      <c r="CH37" s="60">
        <v>10.53</v>
      </c>
      <c r="CI37" s="60">
        <v>9.77</v>
      </c>
      <c r="CJ37" s="60">
        <v>3.12</v>
      </c>
      <c r="CK37" s="59">
        <f t="shared" ref="CK37:CK68" si="47">IF(CG37&gt;0,CJ37/CG37*100,"")</f>
        <v>50.665800584605392</v>
      </c>
      <c r="CL37" s="60"/>
      <c r="CM37" s="72">
        <f t="shared" ref="CM37:CM68" si="48">SCRF*(ScrL1+ScrL2)/4+(ScrMG-SCRF/2)*(ScrL1+ScrL2)/3</f>
        <v>31.529283333333332</v>
      </c>
      <c r="CN37" s="81">
        <f t="shared" ref="CN37:CN68" si="49">IF(ZVAL=1,1,IF(LPM&gt;0,0.64*((AM+MAM)/(E+(MC/2))^2)^0.3,0))</f>
        <v>1</v>
      </c>
      <c r="CO37" s="59">
        <f t="shared" ref="CO37:CO68" si="50">0.65*((AM+MAM)*EFM)+0.35*((AM+MAM)*ZVAL)</f>
        <v>26.423213069999996</v>
      </c>
      <c r="CP37" s="59">
        <f t="shared" ref="CP37:CP68" si="51">IF(ZVAL=1,1,IF(LPG&gt;0,0.72*(AG/(LPG^2))^0.3,0))</f>
        <v>1</v>
      </c>
      <c r="CQ37" s="59">
        <f t="shared" ref="CQ37:CQ68" si="52">AG*EFG</f>
        <v>14.02777962</v>
      </c>
      <c r="CR37" s="59">
        <f>IF(AV37&gt;0,'Look Ups'!$L$3,0)</f>
        <v>1</v>
      </c>
      <c r="CS37" s="59">
        <f t="shared" ref="CS37:CS56" si="53">IF(LPS&gt;0,0.72*(AS/(LPS^2))^0.3,0)</f>
        <v>0</v>
      </c>
      <c r="CT37" s="59">
        <f t="shared" ref="CT37:CT56" si="54">EFS*AS</f>
        <v>0</v>
      </c>
      <c r="CU37" s="59">
        <f t="shared" ref="CU37:CU56" si="55">IF(LPD&gt;0,0.72*(AD/(LPD^2))^0.3,0)</f>
        <v>0</v>
      </c>
      <c r="CV37" s="79">
        <f t="shared" ref="CV37:CV56" si="56">IF((AD-AG)&gt;0,0.3*(AD-AG)*EFD,0)</f>
        <v>0</v>
      </c>
      <c r="CW37" s="82" t="str">
        <f t="shared" ref="CW37:CW68" si="57">IF((SCRF=0),"-",IF(AND(MSASC&gt;AG,ScrMG&gt;=(0.5*SCRF),ScrMG&lt;(0.75*SCRF)),"valid","ERROR"))</f>
        <v>valid</v>
      </c>
      <c r="CX37" s="65" t="str">
        <f t="shared" ref="CX37:CX68" si="58">IF((SF=0),"-",IF((SMG&lt;(0.75*SF)),"ERROR",IF(AND(MSASP&gt;MSASC,MSASP&gt;AG,MSASP&gt;=0.36*RSAM),"valid",0)))</f>
        <v>valid</v>
      </c>
      <c r="CY37" s="66" t="str">
        <f t="shared" ref="CY37:CY68" si="59">IF(C37="","",IF(CW37="valid",IF(CX37="valid","MGScrSp","MGScr"),IF(CX37="valid","MGSp","MG")))</f>
        <v>MGScrSp</v>
      </c>
      <c r="CZ37" s="81">
        <f t="shared" ref="CZ37:CZ68" si="60">RSAM+RSAG</f>
        <v>40.450992689999993</v>
      </c>
      <c r="DA37" s="59">
        <f t="shared" ref="DA37:DA68" si="61">IF(MSASP&gt;0,0.3*(ZVAL*MSASP-RSAG),0)</f>
        <v>14.685456114000001</v>
      </c>
      <c r="DB37" s="59">
        <f t="shared" ref="DB37:DB68" si="62">IF(AND(MSASC&gt;0,(MSASC&gt;=0.36*RSAM)),(0.35*(ZVAL*MSASC-RSAG)),(0))</f>
        <v>6.1255262996666655</v>
      </c>
      <c r="DC37" s="59">
        <f t="shared" ref="DC37:DC68" si="63">IF(MSASP&gt;0,0.295*(ZVAL*MSASP-RSAG),0)</f>
        <v>14.440698512100001</v>
      </c>
      <c r="DD37" s="59">
        <f t="shared" ref="DD37:DD68" si="64">IF(MSASC&gt;0,0.055*(MSASC-RSAG),0)</f>
        <v>0.96258270423333325</v>
      </c>
      <c r="DE37" s="79">
        <f t="shared" ref="DE37:DE68" si="65">RSAMG+(ZVAL*0.3*0.36*(RSAM-RSAG))</f>
        <v>41.789699502599994</v>
      </c>
      <c r="DF37" s="83">
        <f t="shared" ref="DF37:DF68" si="66">IF(CY37="MG",DE37,IF(CY37="MGScr",RAMG+RASCO,IF(CY37="MGSp",RAMG+RASPO,IF(CY37="MGScrSp",RAMG+RASPSC+RASCR,0))))+RSAST+RSAD+RSAMZ+RSA2M</f>
        <v>55.854273906333326</v>
      </c>
      <c r="DG37" s="412"/>
    </row>
    <row r="38" spans="2:255" ht="16.5" customHeight="1" x14ac:dyDescent="0.25">
      <c r="B38" s="416"/>
      <c r="C38" s="414" t="s">
        <v>878</v>
      </c>
      <c r="D38" s="48" t="s">
        <v>879</v>
      </c>
      <c r="E38" s="49" t="s">
        <v>880</v>
      </c>
      <c r="F38" s="415">
        <f t="shared" si="35"/>
        <v>0.91497650148514609</v>
      </c>
      <c r="G38" s="415" t="str">
        <f t="shared" ca="1" si="36"/>
        <v>Yes</v>
      </c>
      <c r="H38" s="51" t="str">
        <f t="shared" si="37"/>
        <v>Main - Genoa - Screacher - Spinnaker</v>
      </c>
      <c r="I38" s="52">
        <v>42672</v>
      </c>
      <c r="J38" s="52">
        <v>44643</v>
      </c>
      <c r="K38" s="53" t="s">
        <v>506</v>
      </c>
      <c r="L38" s="53" t="s">
        <v>614</v>
      </c>
      <c r="M38" s="54"/>
      <c r="N38" s="55" t="s">
        <v>127</v>
      </c>
      <c r="O38" s="55" t="s">
        <v>128</v>
      </c>
      <c r="P38" s="56"/>
      <c r="Q38" s="57">
        <v>7.85</v>
      </c>
      <c r="R38" s="58"/>
      <c r="S38" s="59">
        <f t="shared" si="34"/>
        <v>0.19625000000000001</v>
      </c>
      <c r="T38" s="60">
        <v>0</v>
      </c>
      <c r="U38" s="60"/>
      <c r="V38" s="61">
        <f t="shared" si="33"/>
        <v>7.85</v>
      </c>
      <c r="W38" s="62">
        <f>IF(RL&gt;0,IF(RL&gt;'Look Ups'!R$7,'Look Ups'!R$8,('Look Ups'!R$3*RL^3+'Look Ups'!R$4*RL^2+'Look Ups'!R$5*RL+'Look Ups'!R$6)),0)</f>
        <v>0.29326680862499999</v>
      </c>
      <c r="X38" s="63">
        <v>1080</v>
      </c>
      <c r="Y38" s="64"/>
      <c r="Z38" s="64"/>
      <c r="AA38" s="64"/>
      <c r="AB38" s="65">
        <f t="shared" si="38"/>
        <v>1080</v>
      </c>
      <c r="AC38" s="66">
        <f t="shared" si="39"/>
        <v>1080</v>
      </c>
      <c r="AD38" s="67" t="s">
        <v>129</v>
      </c>
      <c r="AE38" s="68" t="s">
        <v>130</v>
      </c>
      <c r="AF38" s="69" t="s">
        <v>131</v>
      </c>
      <c r="AG38" s="70">
        <f>IF(C38="",0,VLOOKUP(AD38,'Look Ups'!$B$3:$C$6,2,0)*VLOOKUP(AE38,'Look Ups'!$E$3:$F$5,2,0)*VLOOKUP(AF38,'Look Ups'!$H$3:$I$7,2,0))</f>
        <v>1</v>
      </c>
      <c r="AH38" s="71">
        <v>11.81</v>
      </c>
      <c r="AI38" s="60">
        <v>11.45</v>
      </c>
      <c r="AJ38" s="60">
        <v>3.13</v>
      </c>
      <c r="AK38" s="60">
        <v>1.59</v>
      </c>
      <c r="AL38" s="60">
        <v>0.14000000000000001</v>
      </c>
      <c r="AM38" s="60">
        <v>11.6</v>
      </c>
      <c r="AN38" s="60">
        <v>0.14000000000000001</v>
      </c>
      <c r="AO38" s="60">
        <v>3.15</v>
      </c>
      <c r="AP38" s="60">
        <v>0.08</v>
      </c>
      <c r="AQ38" s="60">
        <v>0.46</v>
      </c>
      <c r="AR38" s="60" t="s">
        <v>132</v>
      </c>
      <c r="AS38" s="75"/>
      <c r="AT38" s="59">
        <f t="shared" si="40"/>
        <v>11.68</v>
      </c>
      <c r="AU38" s="59">
        <f t="shared" si="41"/>
        <v>2.0009999999999999</v>
      </c>
      <c r="AV38" s="72">
        <f>IF(C38="",0,(0.5*(_ML1*LPM)+0.5*(_ML1*HB)+0.66*(P*PR)+0.66*(_ML2*RDM)+0.66*(E*ER))*VLOOKUP(BATT,'Look Ups'!$N$3:$O$4,2,0))</f>
        <v>30.167740000000002</v>
      </c>
      <c r="AW38" s="73"/>
      <c r="AX38" s="74"/>
      <c r="AY38" s="71">
        <v>8.89</v>
      </c>
      <c r="AZ38" s="60">
        <v>2.81</v>
      </c>
      <c r="BA38" s="60">
        <v>3.2029999999999998</v>
      </c>
      <c r="BB38" s="60">
        <v>0.151</v>
      </c>
      <c r="BC38" s="60">
        <v>7.85</v>
      </c>
      <c r="BD38" s="60">
        <v>7.77</v>
      </c>
      <c r="BE38" s="60">
        <v>0.26</v>
      </c>
      <c r="BF38" s="60">
        <v>0.12</v>
      </c>
      <c r="BG38" s="60">
        <v>0</v>
      </c>
      <c r="BH38" s="75"/>
      <c r="BI38" s="72">
        <f t="shared" si="42"/>
        <v>14.445544980000001</v>
      </c>
      <c r="BJ38" s="76"/>
      <c r="BK38" s="77"/>
      <c r="BL38" s="78"/>
      <c r="BM38" s="78"/>
      <c r="BN38" s="77"/>
      <c r="BO38" s="78"/>
      <c r="BP38" s="78"/>
      <c r="BQ38" s="79">
        <f t="shared" si="43"/>
        <v>0</v>
      </c>
      <c r="BR38" s="80"/>
      <c r="BS38" s="77"/>
      <c r="BT38" s="77"/>
      <c r="BU38" s="77"/>
      <c r="BV38" s="77"/>
      <c r="BW38" s="77"/>
      <c r="BX38" s="77"/>
      <c r="BY38" s="72">
        <f t="shared" si="44"/>
        <v>0</v>
      </c>
      <c r="BZ38" s="73">
        <v>7.25</v>
      </c>
      <c r="CA38" s="60">
        <v>14.22</v>
      </c>
      <c r="CB38" s="60">
        <v>11.8</v>
      </c>
      <c r="CC38" s="60">
        <v>5.45</v>
      </c>
      <c r="CD38" s="65">
        <f t="shared" si="45"/>
        <v>75.172413793103459</v>
      </c>
      <c r="CE38" s="60"/>
      <c r="CF38" s="79">
        <f t="shared" si="46"/>
        <v>62.990083333333338</v>
      </c>
      <c r="CG38" s="71">
        <v>4.8499999999999996</v>
      </c>
      <c r="CH38" s="60">
        <v>11.72</v>
      </c>
      <c r="CI38" s="60">
        <v>10.42</v>
      </c>
      <c r="CJ38" s="60">
        <v>2.84</v>
      </c>
      <c r="CK38" s="59">
        <f t="shared" si="47"/>
        <v>58.55670103092784</v>
      </c>
      <c r="CL38" s="60"/>
      <c r="CM38" s="72">
        <f t="shared" si="48"/>
        <v>29.907449999999997</v>
      </c>
      <c r="CN38" s="81">
        <f t="shared" si="49"/>
        <v>1</v>
      </c>
      <c r="CO38" s="59">
        <f t="shared" si="50"/>
        <v>32.16874</v>
      </c>
      <c r="CP38" s="59">
        <f t="shared" si="51"/>
        <v>1</v>
      </c>
      <c r="CQ38" s="59">
        <f t="shared" si="52"/>
        <v>14.445544980000001</v>
      </c>
      <c r="CR38" s="59">
        <f>IF(AV38&gt;0,'Look Ups'!$L$3,0)</f>
        <v>1</v>
      </c>
      <c r="CS38" s="59">
        <f t="shared" si="53"/>
        <v>0</v>
      </c>
      <c r="CT38" s="59">
        <f t="shared" si="54"/>
        <v>0</v>
      </c>
      <c r="CU38" s="59">
        <f t="shared" si="55"/>
        <v>0</v>
      </c>
      <c r="CV38" s="79">
        <f t="shared" si="56"/>
        <v>0</v>
      </c>
      <c r="CW38" s="82" t="str">
        <f t="shared" si="57"/>
        <v>valid</v>
      </c>
      <c r="CX38" s="65" t="str">
        <f t="shared" si="58"/>
        <v>valid</v>
      </c>
      <c r="CY38" s="66" t="str">
        <f t="shared" si="59"/>
        <v>MGScrSp</v>
      </c>
      <c r="CZ38" s="81">
        <f t="shared" si="60"/>
        <v>46.614284980000001</v>
      </c>
      <c r="DA38" s="59">
        <f t="shared" si="61"/>
        <v>14.563361506</v>
      </c>
      <c r="DB38" s="59">
        <f t="shared" si="62"/>
        <v>5.4116667569999981</v>
      </c>
      <c r="DC38" s="59">
        <f t="shared" si="63"/>
        <v>14.320638814233334</v>
      </c>
      <c r="DD38" s="59">
        <f t="shared" si="64"/>
        <v>0.85040477609999976</v>
      </c>
      <c r="DE38" s="79">
        <f t="shared" si="65"/>
        <v>48.528390042159998</v>
      </c>
      <c r="DF38" s="83">
        <f t="shared" si="66"/>
        <v>61.785328570333334</v>
      </c>
      <c r="DG38" s="412"/>
    </row>
    <row r="39" spans="2:255" ht="16.5" customHeight="1" x14ac:dyDescent="0.25">
      <c r="B39" s="416"/>
      <c r="C39" s="418" t="s">
        <v>631</v>
      </c>
      <c r="D39" s="169" t="s">
        <v>632</v>
      </c>
      <c r="E39" s="170" t="s">
        <v>578</v>
      </c>
      <c r="F39" s="415">
        <f t="shared" si="35"/>
        <v>0.84092640851185552</v>
      </c>
      <c r="G39" s="415" t="str">
        <f t="shared" ca="1" si="36"/>
        <v>No</v>
      </c>
      <c r="H39" s="51" t="str">
        <f t="shared" si="37"/>
        <v>Main - Genoa - Screacher - Spinnaker</v>
      </c>
      <c r="I39" s="370">
        <v>37878</v>
      </c>
      <c r="J39" s="171">
        <v>43002</v>
      </c>
      <c r="K39" s="172" t="s">
        <v>633</v>
      </c>
      <c r="L39" s="172" t="s">
        <v>187</v>
      </c>
      <c r="M39" s="371"/>
      <c r="N39" s="87" t="s">
        <v>537</v>
      </c>
      <c r="O39" s="87"/>
      <c r="P39" s="174">
        <v>5.5</v>
      </c>
      <c r="Q39" s="175">
        <v>7.42</v>
      </c>
      <c r="R39" s="78"/>
      <c r="S39" s="59">
        <f t="shared" si="34"/>
        <v>0.1855</v>
      </c>
      <c r="T39" s="176">
        <v>0.23</v>
      </c>
      <c r="U39" s="176">
        <v>0</v>
      </c>
      <c r="V39" s="61">
        <f t="shared" si="33"/>
        <v>7.1899999999999995</v>
      </c>
      <c r="W39" s="62">
        <f>IF(RL&gt;0,IF(RL&gt;'Look Ups'!R$7,'Look Ups'!R$8,('Look Ups'!R$3*RL^3+'Look Ups'!R$4*RL^2+'Look Ups'!R$5*RL+'Look Ups'!R$6)),0)</f>
        <v>0.29059639364700002</v>
      </c>
      <c r="X39" s="177">
        <v>945</v>
      </c>
      <c r="Y39" s="178"/>
      <c r="Z39" s="178"/>
      <c r="AA39" s="178"/>
      <c r="AB39" s="65">
        <f t="shared" si="38"/>
        <v>945</v>
      </c>
      <c r="AC39" s="66">
        <f t="shared" si="39"/>
        <v>945</v>
      </c>
      <c r="AD39" s="179" t="s">
        <v>129</v>
      </c>
      <c r="AE39" s="180" t="s">
        <v>130</v>
      </c>
      <c r="AF39" s="181" t="s">
        <v>131</v>
      </c>
      <c r="AG39" s="70">
        <f>IF(C39="",0,VLOOKUP(AD39,'Look Ups'!$B$3:$C$6,2,0)*VLOOKUP(AE39,'Look Ups'!$E$3:$F$5,2,0)*VLOOKUP(AF39,'Look Ups'!$H$3:$I$7,2,0))</f>
        <v>1</v>
      </c>
      <c r="AH39" s="80">
        <v>9.23</v>
      </c>
      <c r="AI39" s="77">
        <v>8.7200000000000006</v>
      </c>
      <c r="AJ39" s="77">
        <v>3.3</v>
      </c>
      <c r="AK39" s="77">
        <v>0.8</v>
      </c>
      <c r="AL39" s="77">
        <v>0.55000000000000004</v>
      </c>
      <c r="AM39" s="77">
        <v>8.93</v>
      </c>
      <c r="AN39" s="77">
        <v>0.08</v>
      </c>
      <c r="AO39" s="77">
        <v>3.45</v>
      </c>
      <c r="AP39" s="77">
        <v>0.04</v>
      </c>
      <c r="AQ39" s="77">
        <v>0.4</v>
      </c>
      <c r="AR39" s="77" t="s">
        <v>132</v>
      </c>
      <c r="AS39" s="87">
        <v>0</v>
      </c>
      <c r="AT39" s="59">
        <f t="shared" si="40"/>
        <v>8.9699999999999989</v>
      </c>
      <c r="AU39" s="59">
        <f t="shared" si="41"/>
        <v>1.3395000000000001</v>
      </c>
      <c r="AV39" s="72">
        <f>IF(C39="",0,(0.5*(_ML1*LPM)+0.5*(_ML1*HB)+0.66*(P*PR)+0.66*(_ML2*RDM)+0.66*(E*ER))*VLOOKUP(BATT,'Look Ups'!$N$3:$O$4,2,0))</f>
        <v>22.649444000000003</v>
      </c>
      <c r="AW39" s="182"/>
      <c r="AX39" s="183"/>
      <c r="AY39" s="80">
        <v>8.3000000000000007</v>
      </c>
      <c r="AZ39" s="77">
        <v>2.7250000000000001</v>
      </c>
      <c r="BA39" s="77">
        <v>3.07</v>
      </c>
      <c r="BB39" s="77">
        <v>0.1</v>
      </c>
      <c r="BC39" s="77">
        <v>7.4</v>
      </c>
      <c r="BD39" s="77"/>
      <c r="BE39" s="77"/>
      <c r="BF39" s="77">
        <v>3.5000000000000003E-2</v>
      </c>
      <c r="BG39" s="77">
        <v>3.5000000000000003E-2</v>
      </c>
      <c r="BH39" s="87"/>
      <c r="BI39" s="72">
        <f t="shared" si="42"/>
        <v>11.874040000000001</v>
      </c>
      <c r="BJ39" s="76"/>
      <c r="BK39" s="77"/>
      <c r="BL39" s="78"/>
      <c r="BM39" s="78"/>
      <c r="BN39" s="77"/>
      <c r="BO39" s="78"/>
      <c r="BP39" s="78"/>
      <c r="BQ39" s="79">
        <f t="shared" si="43"/>
        <v>0</v>
      </c>
      <c r="BR39" s="80"/>
      <c r="BS39" s="77"/>
      <c r="BT39" s="77"/>
      <c r="BU39" s="77"/>
      <c r="BV39" s="77"/>
      <c r="BW39" s="77"/>
      <c r="BX39" s="77"/>
      <c r="BY39" s="72">
        <f t="shared" si="44"/>
        <v>0</v>
      </c>
      <c r="BZ39" s="182">
        <v>6.85</v>
      </c>
      <c r="CA39" s="77">
        <v>11.25</v>
      </c>
      <c r="CB39" s="77">
        <v>10.050000000000001</v>
      </c>
      <c r="CC39" s="77">
        <v>5.7519999999999998</v>
      </c>
      <c r="CD39" s="65">
        <f t="shared" si="45"/>
        <v>83.970802919708035</v>
      </c>
      <c r="CE39" s="77"/>
      <c r="CF39" s="79">
        <f t="shared" si="46"/>
        <v>52.997950000000003</v>
      </c>
      <c r="CG39" s="80">
        <v>5.24</v>
      </c>
      <c r="CH39" s="77">
        <v>9.07</v>
      </c>
      <c r="CI39" s="77">
        <v>7.09</v>
      </c>
      <c r="CJ39" s="77">
        <v>2.63</v>
      </c>
      <c r="CK39" s="59">
        <f t="shared" si="47"/>
        <v>50.190839694656489</v>
      </c>
      <c r="CL39" s="77">
        <v>0</v>
      </c>
      <c r="CM39" s="72">
        <f t="shared" si="48"/>
        <v>21.223466666666667</v>
      </c>
      <c r="CN39" s="81">
        <f t="shared" si="49"/>
        <v>1</v>
      </c>
      <c r="CO39" s="59">
        <f t="shared" si="50"/>
        <v>23.988944000000004</v>
      </c>
      <c r="CP39" s="59">
        <f t="shared" si="51"/>
        <v>1</v>
      </c>
      <c r="CQ39" s="59">
        <f t="shared" si="52"/>
        <v>11.874040000000001</v>
      </c>
      <c r="CR39" s="59">
        <f>IF(AV39&gt;0,'Look Ups'!$L$3,0)</f>
        <v>1</v>
      </c>
      <c r="CS39" s="59">
        <f t="shared" si="53"/>
        <v>0</v>
      </c>
      <c r="CT39" s="59">
        <f t="shared" si="54"/>
        <v>0</v>
      </c>
      <c r="CU39" s="59">
        <f t="shared" si="55"/>
        <v>0</v>
      </c>
      <c r="CV39" s="79">
        <f t="shared" si="56"/>
        <v>0</v>
      </c>
      <c r="CW39" s="82" t="str">
        <f t="shared" si="57"/>
        <v>valid</v>
      </c>
      <c r="CX39" s="65" t="str">
        <f t="shared" si="58"/>
        <v>valid</v>
      </c>
      <c r="CY39" s="66" t="str">
        <f t="shared" si="59"/>
        <v>MGScrSp</v>
      </c>
      <c r="CZ39" s="81">
        <f t="shared" si="60"/>
        <v>35.862984000000004</v>
      </c>
      <c r="DA39" s="59">
        <f t="shared" si="61"/>
        <v>12.337173</v>
      </c>
      <c r="DB39" s="59">
        <f t="shared" si="62"/>
        <v>3.2722993333333328</v>
      </c>
      <c r="DC39" s="59">
        <f t="shared" si="63"/>
        <v>12.13155345</v>
      </c>
      <c r="DD39" s="59">
        <f t="shared" si="64"/>
        <v>0.5142184666666666</v>
      </c>
      <c r="DE39" s="79">
        <f t="shared" si="65"/>
        <v>37.171393632000004</v>
      </c>
      <c r="DF39" s="83">
        <f t="shared" si="66"/>
        <v>48.508755916666672</v>
      </c>
      <c r="DG39" s="412"/>
    </row>
    <row r="40" spans="2:255" ht="16.5" customHeight="1" x14ac:dyDescent="0.25">
      <c r="B40" s="416"/>
      <c r="C40" s="414" t="s">
        <v>1104</v>
      </c>
      <c r="D40" s="48" t="s">
        <v>1105</v>
      </c>
      <c r="E40" s="49" t="s">
        <v>1106</v>
      </c>
      <c r="F40" s="415">
        <f t="shared" si="35"/>
        <v>1.0682262285709399</v>
      </c>
      <c r="G40" s="415" t="str">
        <f t="shared" ca="1" si="36"/>
        <v>Yes</v>
      </c>
      <c r="H40" s="51" t="str">
        <f t="shared" si="37"/>
        <v>Main - Genoa - Screacher - Spinnaker</v>
      </c>
      <c r="I40" s="52">
        <v>44784</v>
      </c>
      <c r="J40" s="52">
        <v>44784</v>
      </c>
      <c r="K40" s="53" t="s">
        <v>1095</v>
      </c>
      <c r="L40" s="53" t="s">
        <v>614</v>
      </c>
      <c r="M40" s="54"/>
      <c r="N40" s="55" t="s">
        <v>149</v>
      </c>
      <c r="O40" s="55"/>
      <c r="P40" s="56"/>
      <c r="Q40" s="57">
        <v>7.98</v>
      </c>
      <c r="R40" s="58"/>
      <c r="S40" s="59">
        <f t="shared" si="34"/>
        <v>0.19950000000000001</v>
      </c>
      <c r="T40" s="60"/>
      <c r="U40" s="60">
        <v>0</v>
      </c>
      <c r="V40" s="61">
        <f t="shared" si="33"/>
        <v>7.98</v>
      </c>
      <c r="W40" s="62">
        <f>IF(RL&gt;0,IF(RL&gt;'Look Ups'!R$7,'Look Ups'!R$8,('Look Ups'!R$3*RL^3+'Look Ups'!R$4*RL^2+'Look Ups'!R$5*RL+'Look Ups'!R$6)),0)</f>
        <v>0.29372703653600002</v>
      </c>
      <c r="X40" s="63">
        <v>932</v>
      </c>
      <c r="Y40" s="64"/>
      <c r="Z40" s="64"/>
      <c r="AA40" s="64"/>
      <c r="AB40" s="65">
        <f t="shared" si="38"/>
        <v>932</v>
      </c>
      <c r="AC40" s="66">
        <f t="shared" si="39"/>
        <v>932</v>
      </c>
      <c r="AD40" s="67" t="s">
        <v>129</v>
      </c>
      <c r="AE40" s="68" t="s">
        <v>130</v>
      </c>
      <c r="AF40" s="69" t="s">
        <v>131</v>
      </c>
      <c r="AG40" s="70">
        <f>IF(C40="",0,VLOOKUP(AD40,'Look Ups'!$B$3:$C$6,2,0)*VLOOKUP(AE40,'Look Ups'!$E$3:$F$5,2,0)*VLOOKUP(AF40,'Look Ups'!$H$3:$I$7,2,0))</f>
        <v>1</v>
      </c>
      <c r="AH40" s="71">
        <v>13.89</v>
      </c>
      <c r="AI40" s="60">
        <v>13.47</v>
      </c>
      <c r="AJ40" s="60">
        <v>3.92</v>
      </c>
      <c r="AK40" s="60">
        <v>1.9950000000000001</v>
      </c>
      <c r="AL40" s="60">
        <v>0.12</v>
      </c>
      <c r="AM40" s="60">
        <v>13.87</v>
      </c>
      <c r="AN40" s="60">
        <v>0.16</v>
      </c>
      <c r="AO40" s="60">
        <v>3.98</v>
      </c>
      <c r="AP40" s="60">
        <v>-2.5000000000000001E-2</v>
      </c>
      <c r="AQ40" s="60">
        <v>0.49</v>
      </c>
      <c r="AR40" s="60" t="s">
        <v>132</v>
      </c>
      <c r="AS40" s="75">
        <v>641</v>
      </c>
      <c r="AT40" s="59">
        <f t="shared" si="40"/>
        <v>13.844999999999999</v>
      </c>
      <c r="AU40" s="59">
        <f t="shared" si="41"/>
        <v>2.5486124999999999</v>
      </c>
      <c r="AV40" s="72">
        <f>IF(C40="",0,(0.5*(_ML1*LPM)+0.5*(_ML1*HB)+0.66*(P*PR)+0.66*(_ML2*RDM)+0.66*(E*ER))*VLOOKUP(BATT,'Look Ups'!$N$3:$O$4,2,0))</f>
        <v>43.545501000000002</v>
      </c>
      <c r="AW40" s="73"/>
      <c r="AX40" s="74"/>
      <c r="AY40" s="71">
        <v>8.61</v>
      </c>
      <c r="AZ40" s="60">
        <v>2.69</v>
      </c>
      <c r="BA40" s="60">
        <v>2.76</v>
      </c>
      <c r="BB40" s="60">
        <v>0.09</v>
      </c>
      <c r="BC40" s="60">
        <v>8.34</v>
      </c>
      <c r="BD40" s="60"/>
      <c r="BE40" s="60"/>
      <c r="BF40" s="60">
        <v>0.08</v>
      </c>
      <c r="BG40" s="60">
        <v>-0.06</v>
      </c>
      <c r="BH40" s="75">
        <v>0</v>
      </c>
      <c r="BI40" s="72">
        <f t="shared" si="42"/>
        <v>11.84379</v>
      </c>
      <c r="BJ40" s="76"/>
      <c r="BK40" s="77"/>
      <c r="BL40" s="78"/>
      <c r="BM40" s="78"/>
      <c r="BN40" s="77"/>
      <c r="BO40" s="78"/>
      <c r="BP40" s="78"/>
      <c r="BQ40" s="79">
        <f t="shared" si="43"/>
        <v>0</v>
      </c>
      <c r="BR40" s="80"/>
      <c r="BS40" s="77"/>
      <c r="BT40" s="77"/>
      <c r="BU40" s="77"/>
      <c r="BV40" s="77"/>
      <c r="BW40" s="77"/>
      <c r="BX40" s="77"/>
      <c r="BY40" s="72">
        <f t="shared" si="44"/>
        <v>0</v>
      </c>
      <c r="BZ40" s="73">
        <v>7.96</v>
      </c>
      <c r="CA40" s="60">
        <v>13.57</v>
      </c>
      <c r="CB40" s="60">
        <v>12</v>
      </c>
      <c r="CC40" s="60">
        <v>7.4</v>
      </c>
      <c r="CD40" s="65">
        <f t="shared" si="45"/>
        <v>92.964824120603012</v>
      </c>
      <c r="CE40" s="60">
        <v>0</v>
      </c>
      <c r="CF40" s="79">
        <f t="shared" si="46"/>
        <v>80.034100000000009</v>
      </c>
      <c r="CG40" s="71">
        <v>6.11</v>
      </c>
      <c r="CH40" s="60">
        <v>13.23</v>
      </c>
      <c r="CI40" s="60">
        <v>11.98</v>
      </c>
      <c r="CJ40" s="60">
        <v>3.16</v>
      </c>
      <c r="CK40" s="59">
        <f t="shared" si="47"/>
        <v>51.718494271685756</v>
      </c>
      <c r="CL40" s="60">
        <v>0</v>
      </c>
      <c r="CM40" s="72">
        <f t="shared" si="48"/>
        <v>39.390625000000007</v>
      </c>
      <c r="CN40" s="81">
        <f t="shared" si="49"/>
        <v>1</v>
      </c>
      <c r="CO40" s="59">
        <f t="shared" si="50"/>
        <v>46.094113499999999</v>
      </c>
      <c r="CP40" s="59">
        <f t="shared" si="51"/>
        <v>1</v>
      </c>
      <c r="CQ40" s="59">
        <f t="shared" si="52"/>
        <v>11.84379</v>
      </c>
      <c r="CR40" s="59">
        <f>IF(AV40&gt;0,'Look Ups'!$L$3,0)</f>
        <v>1</v>
      </c>
      <c r="CS40" s="59">
        <f t="shared" si="53"/>
        <v>0</v>
      </c>
      <c r="CT40" s="59">
        <f t="shared" si="54"/>
        <v>0</v>
      </c>
      <c r="CU40" s="59">
        <f t="shared" si="55"/>
        <v>0</v>
      </c>
      <c r="CV40" s="79">
        <f t="shared" si="56"/>
        <v>0</v>
      </c>
      <c r="CW40" s="82" t="str">
        <f t="shared" si="57"/>
        <v>valid</v>
      </c>
      <c r="CX40" s="65" t="str">
        <f t="shared" si="58"/>
        <v>valid</v>
      </c>
      <c r="CY40" s="66" t="str">
        <f t="shared" si="59"/>
        <v>MGScrSp</v>
      </c>
      <c r="CZ40" s="81">
        <f t="shared" si="60"/>
        <v>57.937903499999997</v>
      </c>
      <c r="DA40" s="59">
        <f t="shared" si="61"/>
        <v>20.457093000000004</v>
      </c>
      <c r="DB40" s="59">
        <f t="shared" si="62"/>
        <v>9.6413922500000027</v>
      </c>
      <c r="DC40" s="59">
        <f t="shared" si="63"/>
        <v>20.116141450000001</v>
      </c>
      <c r="DD40" s="59">
        <f t="shared" si="64"/>
        <v>1.5150759250000005</v>
      </c>
      <c r="DE40" s="79">
        <f t="shared" si="65"/>
        <v>61.636938437999994</v>
      </c>
      <c r="DF40" s="83">
        <f t="shared" si="66"/>
        <v>79.569120874999996</v>
      </c>
      <c r="DG40" s="412"/>
    </row>
    <row r="41" spans="2:255" ht="16.5" customHeight="1" x14ac:dyDescent="0.25">
      <c r="B41" s="416"/>
      <c r="C41" s="414" t="s">
        <v>243</v>
      </c>
      <c r="D41" s="48" t="s">
        <v>1108</v>
      </c>
      <c r="E41" s="49" t="s">
        <v>244</v>
      </c>
      <c r="F41" s="415">
        <f t="shared" si="35"/>
        <v>0.89058336486359813</v>
      </c>
      <c r="G41" s="415" t="str">
        <f t="shared" ca="1" si="36"/>
        <v>Yes</v>
      </c>
      <c r="H41" s="51" t="str">
        <f t="shared" si="37"/>
        <v>Main - Genoa - Screacher - Spinnaker</v>
      </c>
      <c r="I41" s="52">
        <v>43186</v>
      </c>
      <c r="J41" s="52">
        <v>44839</v>
      </c>
      <c r="K41" s="53" t="s">
        <v>1095</v>
      </c>
      <c r="L41" s="53" t="s">
        <v>614</v>
      </c>
      <c r="M41" s="54"/>
      <c r="N41" s="55" t="s">
        <v>149</v>
      </c>
      <c r="O41" s="55"/>
      <c r="P41" s="56"/>
      <c r="Q41" s="57">
        <v>15.56</v>
      </c>
      <c r="R41" s="58"/>
      <c r="S41" s="59">
        <f t="shared" si="34"/>
        <v>0.38900000000000001</v>
      </c>
      <c r="T41" s="60">
        <v>0.05</v>
      </c>
      <c r="U41" s="60">
        <v>0</v>
      </c>
      <c r="V41" s="61">
        <f t="shared" si="33"/>
        <v>15.51</v>
      </c>
      <c r="W41" s="62">
        <f>IF(RL&gt;0,IF(RL&gt;'Look Ups'!R$7,'Look Ups'!R$8,('Look Ups'!R$3*RL^3+'Look Ups'!R$4*RL^2+'Look Ups'!R$5*RL+'Look Ups'!R$6)),0)</f>
        <v>0.3</v>
      </c>
      <c r="X41" s="63">
        <v>7532</v>
      </c>
      <c r="Y41" s="64"/>
      <c r="Z41" s="64"/>
      <c r="AA41" s="64"/>
      <c r="AB41" s="65">
        <f t="shared" si="38"/>
        <v>7532</v>
      </c>
      <c r="AC41" s="66">
        <f t="shared" si="39"/>
        <v>7532</v>
      </c>
      <c r="AD41" s="67" t="s">
        <v>129</v>
      </c>
      <c r="AE41" s="68" t="s">
        <v>130</v>
      </c>
      <c r="AF41" s="69" t="s">
        <v>161</v>
      </c>
      <c r="AG41" s="70">
        <f>IF(C41="",0,VLOOKUP(AD41,'Look Ups'!$B$3:$C$6,2,0)*VLOOKUP(AE41,'Look Ups'!$E$3:$F$5,2,0)*VLOOKUP(AF41,'Look Ups'!$H$3:$I$7,2,0))</f>
        <v>0.99</v>
      </c>
      <c r="AH41" s="71">
        <v>17.920000000000002</v>
      </c>
      <c r="AI41" s="60">
        <v>17.309999999999999</v>
      </c>
      <c r="AJ41" s="60">
        <v>6.45</v>
      </c>
      <c r="AK41" s="60">
        <v>2.3199999999999998</v>
      </c>
      <c r="AL41" s="60">
        <v>0.53</v>
      </c>
      <c r="AM41" s="60">
        <v>17.46</v>
      </c>
      <c r="AN41" s="60">
        <v>0.24</v>
      </c>
      <c r="AO41" s="60">
        <v>6.75</v>
      </c>
      <c r="AP41" s="60">
        <v>0.08</v>
      </c>
      <c r="AQ41" s="60">
        <v>0</v>
      </c>
      <c r="AR41" s="60" t="s">
        <v>132</v>
      </c>
      <c r="AS41" s="75">
        <v>641</v>
      </c>
      <c r="AT41" s="59">
        <f t="shared" si="40"/>
        <v>17.54</v>
      </c>
      <c r="AU41" s="59">
        <f t="shared" si="41"/>
        <v>0</v>
      </c>
      <c r="AV41" s="72">
        <f>IF(C41="",0,(0.5*(_ML1*LPM)+0.5*(_ML1*HB)+0.66*(P*PR)+0.66*(_ML2*RDM)+0.66*(E*ER))*VLOOKUP(BATT,'Look Ups'!$N$3:$O$4,2,0))</f>
        <v>87.756302000000005</v>
      </c>
      <c r="AW41" s="73"/>
      <c r="AX41" s="74"/>
      <c r="AY41" s="71">
        <v>16.96</v>
      </c>
      <c r="AZ41" s="60">
        <v>4.7</v>
      </c>
      <c r="BA41" s="60">
        <v>5</v>
      </c>
      <c r="BB41" s="60">
        <v>0.17</v>
      </c>
      <c r="BC41" s="60">
        <v>15.78</v>
      </c>
      <c r="BD41" s="60"/>
      <c r="BE41" s="60"/>
      <c r="BF41" s="60">
        <v>-0.05</v>
      </c>
      <c r="BG41" s="60">
        <v>0.05</v>
      </c>
      <c r="BH41" s="75">
        <v>0</v>
      </c>
      <c r="BI41" s="72">
        <f t="shared" si="42"/>
        <v>40.455939999999998</v>
      </c>
      <c r="BJ41" s="76"/>
      <c r="BK41" s="77"/>
      <c r="BL41" s="78"/>
      <c r="BM41" s="78"/>
      <c r="BN41" s="77"/>
      <c r="BO41" s="78"/>
      <c r="BP41" s="78"/>
      <c r="BQ41" s="79">
        <f t="shared" si="43"/>
        <v>0</v>
      </c>
      <c r="BR41" s="80"/>
      <c r="BS41" s="77"/>
      <c r="BT41" s="77"/>
      <c r="BU41" s="77"/>
      <c r="BV41" s="77"/>
      <c r="BW41" s="77"/>
      <c r="BX41" s="77"/>
      <c r="BY41" s="72">
        <f t="shared" si="44"/>
        <v>0</v>
      </c>
      <c r="BZ41" s="73">
        <v>13.02</v>
      </c>
      <c r="CA41" s="60">
        <v>19.18</v>
      </c>
      <c r="CB41" s="60">
        <v>17.13</v>
      </c>
      <c r="CC41" s="60">
        <v>9.9</v>
      </c>
      <c r="CD41" s="65">
        <f t="shared" si="45"/>
        <v>76.036866359447004</v>
      </c>
      <c r="CE41" s="60">
        <v>0</v>
      </c>
      <c r="CF41" s="79">
        <f t="shared" si="46"/>
        <v>159.21935000000002</v>
      </c>
      <c r="CG41" s="71">
        <v>11.27</v>
      </c>
      <c r="CH41" s="60">
        <v>18.37</v>
      </c>
      <c r="CI41" s="60">
        <v>15.54</v>
      </c>
      <c r="CJ41" s="60">
        <v>5.69</v>
      </c>
      <c r="CK41" s="59">
        <f t="shared" si="47"/>
        <v>50.488021295474717</v>
      </c>
      <c r="CL41" s="60">
        <v>0</v>
      </c>
      <c r="CM41" s="72">
        <f t="shared" si="48"/>
        <v>96.163108333333327</v>
      </c>
      <c r="CN41" s="81">
        <f t="shared" si="49"/>
        <v>1</v>
      </c>
      <c r="CO41" s="59">
        <f t="shared" si="50"/>
        <v>87.756302000000005</v>
      </c>
      <c r="CP41" s="59">
        <f t="shared" si="51"/>
        <v>1</v>
      </c>
      <c r="CQ41" s="59">
        <f t="shared" si="52"/>
        <v>40.455939999999998</v>
      </c>
      <c r="CR41" s="59">
        <f>IF(AV41&gt;0,'Look Ups'!$L$3,0)</f>
        <v>1</v>
      </c>
      <c r="CS41" s="59">
        <f t="shared" si="53"/>
        <v>0</v>
      </c>
      <c r="CT41" s="59">
        <f t="shared" si="54"/>
        <v>0</v>
      </c>
      <c r="CU41" s="59">
        <f t="shared" si="55"/>
        <v>0</v>
      </c>
      <c r="CV41" s="79">
        <f t="shared" si="56"/>
        <v>0</v>
      </c>
      <c r="CW41" s="82" t="str">
        <f t="shared" si="57"/>
        <v>valid</v>
      </c>
      <c r="CX41" s="65" t="str">
        <f t="shared" si="58"/>
        <v>valid</v>
      </c>
      <c r="CY41" s="66" t="str">
        <f t="shared" si="59"/>
        <v>MGScrSp</v>
      </c>
      <c r="CZ41" s="81">
        <f t="shared" si="60"/>
        <v>128.212242</v>
      </c>
      <c r="DA41" s="59">
        <f t="shared" si="61"/>
        <v>35.629023000000004</v>
      </c>
      <c r="DB41" s="59">
        <f t="shared" si="62"/>
        <v>19.497508916666664</v>
      </c>
      <c r="DC41" s="59">
        <f t="shared" si="63"/>
        <v>35.035205950000005</v>
      </c>
      <c r="DD41" s="59">
        <f t="shared" si="64"/>
        <v>3.0638942583333333</v>
      </c>
      <c r="DE41" s="79">
        <f t="shared" si="65"/>
        <v>133.32068109600002</v>
      </c>
      <c r="DF41" s="83">
        <f t="shared" si="66"/>
        <v>166.31134220833334</v>
      </c>
      <c r="DG41" s="365"/>
    </row>
    <row r="42" spans="2:255" ht="16.5" customHeight="1" x14ac:dyDescent="0.25">
      <c r="B42" s="418"/>
      <c r="C42" s="414" t="s">
        <v>890</v>
      </c>
      <c r="D42" s="48" t="s">
        <v>892</v>
      </c>
      <c r="E42" s="49" t="s">
        <v>893</v>
      </c>
      <c r="F42" s="415">
        <f t="shared" si="35"/>
        <v>0.84405084621526538</v>
      </c>
      <c r="G42" s="415" t="str">
        <f t="shared" ca="1" si="36"/>
        <v>Yes</v>
      </c>
      <c r="H42" s="51" t="str">
        <f t="shared" si="37"/>
        <v>Main - Genoa - Spinnaker</v>
      </c>
      <c r="I42" s="52">
        <v>42761</v>
      </c>
      <c r="J42" s="52">
        <v>43007</v>
      </c>
      <c r="K42" s="53" t="s">
        <v>841</v>
      </c>
      <c r="L42" s="53" t="s">
        <v>841</v>
      </c>
      <c r="M42" s="54"/>
      <c r="N42" s="55" t="s">
        <v>127</v>
      </c>
      <c r="O42" s="55" t="s">
        <v>138</v>
      </c>
      <c r="P42" s="56">
        <v>5.2</v>
      </c>
      <c r="Q42" s="57">
        <v>6.52</v>
      </c>
      <c r="R42" s="58"/>
      <c r="S42" s="59">
        <f t="shared" si="34"/>
        <v>0.16300000000000001</v>
      </c>
      <c r="T42" s="60"/>
      <c r="U42" s="60"/>
      <c r="V42" s="61">
        <f t="shared" si="33"/>
        <v>6.52</v>
      </c>
      <c r="W42" s="62">
        <f>IF(RL&gt;0,IF(RL&gt;'Look Ups'!R$7,'Look Ups'!R$8,('Look Ups'!R$3*RL^3+'Look Ups'!R$4*RL^2+'Look Ups'!R$5*RL+'Look Ups'!R$6)),0)</f>
        <v>0.28727197766400003</v>
      </c>
      <c r="X42" s="63">
        <v>705</v>
      </c>
      <c r="Y42" s="64"/>
      <c r="Z42" s="417"/>
      <c r="AA42" s="417"/>
      <c r="AB42" s="65">
        <f t="shared" si="38"/>
        <v>705</v>
      </c>
      <c r="AC42" s="66">
        <f t="shared" si="39"/>
        <v>705</v>
      </c>
      <c r="AD42" s="67" t="s">
        <v>129</v>
      </c>
      <c r="AE42" s="68" t="s">
        <v>130</v>
      </c>
      <c r="AF42" s="69" t="s">
        <v>131</v>
      </c>
      <c r="AG42" s="70">
        <f>IF(C42="",0,VLOOKUP(AD42,'Look Ups'!$B$3:$C$6,2,0)*VLOOKUP(AE42,'Look Ups'!$E$3:$F$5,2,0)*VLOOKUP(AF42,'Look Ups'!$H$3:$I$7,2,0))</f>
        <v>1</v>
      </c>
      <c r="AH42" s="71">
        <v>9.74</v>
      </c>
      <c r="AI42" s="60">
        <v>9.58</v>
      </c>
      <c r="AJ42" s="60">
        <v>2.68</v>
      </c>
      <c r="AK42" s="60">
        <v>1.2</v>
      </c>
      <c r="AL42" s="60">
        <v>0.09</v>
      </c>
      <c r="AM42" s="60">
        <v>9.83</v>
      </c>
      <c r="AN42" s="60">
        <v>0.12</v>
      </c>
      <c r="AO42" s="60">
        <v>2.68</v>
      </c>
      <c r="AP42" s="60">
        <v>4.4999999999999998E-2</v>
      </c>
      <c r="AQ42" s="60">
        <v>0.46</v>
      </c>
      <c r="AR42" s="60" t="s">
        <v>132</v>
      </c>
      <c r="AS42" s="75"/>
      <c r="AT42" s="59">
        <f t="shared" si="40"/>
        <v>9.875</v>
      </c>
      <c r="AU42" s="59">
        <f t="shared" si="41"/>
        <v>1.6956750000000003</v>
      </c>
      <c r="AV42" s="72">
        <f>IF(C42="",0,(0.5*(_ML1*LPM)+0.5*(_ML1*HB)+0.66*(P*PR)+0.66*(_ML2*RDM)+0.66*(E*ER))*VLOOKUP(BATT,'Look Ups'!$N$3:$O$4,2,0))</f>
        <v>20.322783999999999</v>
      </c>
      <c r="AW42" s="73"/>
      <c r="AX42" s="74"/>
      <c r="AY42" s="71">
        <v>8.8000000000000007</v>
      </c>
      <c r="AZ42" s="60">
        <v>2.11</v>
      </c>
      <c r="BA42" s="60">
        <v>2.3199999999999998</v>
      </c>
      <c r="BB42" s="60">
        <v>0.11</v>
      </c>
      <c r="BC42" s="60">
        <v>8.08</v>
      </c>
      <c r="BD42" s="60"/>
      <c r="BE42" s="60"/>
      <c r="BF42" s="60">
        <v>-0.08</v>
      </c>
      <c r="BG42" s="60">
        <v>0</v>
      </c>
      <c r="BH42" s="75"/>
      <c r="BI42" s="72">
        <f t="shared" si="42"/>
        <v>9.0258079999999996</v>
      </c>
      <c r="BJ42" s="76"/>
      <c r="BK42" s="77"/>
      <c r="BL42" s="78"/>
      <c r="BM42" s="78"/>
      <c r="BN42" s="77"/>
      <c r="BO42" s="78"/>
      <c r="BP42" s="78"/>
      <c r="BQ42" s="79">
        <f t="shared" si="43"/>
        <v>0</v>
      </c>
      <c r="BR42" s="80"/>
      <c r="BS42" s="77"/>
      <c r="BT42" s="77"/>
      <c r="BU42" s="77"/>
      <c r="BV42" s="77"/>
      <c r="BW42" s="77"/>
      <c r="BX42" s="77"/>
      <c r="BY42" s="72">
        <f t="shared" si="44"/>
        <v>0</v>
      </c>
      <c r="BZ42" s="73">
        <v>5.66</v>
      </c>
      <c r="CA42" s="60">
        <v>11.15</v>
      </c>
      <c r="CB42" s="60">
        <v>9.66</v>
      </c>
      <c r="CC42" s="60">
        <v>5.19</v>
      </c>
      <c r="CD42" s="65">
        <f t="shared" si="45"/>
        <v>91.696113074204959</v>
      </c>
      <c r="CE42" s="60"/>
      <c r="CF42" s="79">
        <f t="shared" si="46"/>
        <v>45.816683333333344</v>
      </c>
      <c r="CG42" s="71"/>
      <c r="CH42" s="60"/>
      <c r="CI42" s="60"/>
      <c r="CJ42" s="60"/>
      <c r="CK42" s="59" t="str">
        <f t="shared" si="47"/>
        <v/>
      </c>
      <c r="CL42" s="60"/>
      <c r="CM42" s="72">
        <f t="shared" si="48"/>
        <v>0</v>
      </c>
      <c r="CN42" s="81">
        <f t="shared" si="49"/>
        <v>1</v>
      </c>
      <c r="CO42" s="59">
        <f t="shared" si="50"/>
        <v>22.018459</v>
      </c>
      <c r="CP42" s="59">
        <f t="shared" si="51"/>
        <v>1</v>
      </c>
      <c r="CQ42" s="59">
        <f t="shared" si="52"/>
        <v>9.0258079999999996</v>
      </c>
      <c r="CR42" s="59">
        <f>IF(AV42&gt;0,'Look Ups'!$L$3,0)</f>
        <v>1</v>
      </c>
      <c r="CS42" s="59">
        <f t="shared" si="53"/>
        <v>0</v>
      </c>
      <c r="CT42" s="59">
        <f t="shared" si="54"/>
        <v>0</v>
      </c>
      <c r="CU42" s="59">
        <f t="shared" si="55"/>
        <v>0</v>
      </c>
      <c r="CV42" s="79">
        <f t="shared" si="56"/>
        <v>0</v>
      </c>
      <c r="CW42" s="82" t="str">
        <f t="shared" si="57"/>
        <v>-</v>
      </c>
      <c r="CX42" s="65" t="str">
        <f t="shared" si="58"/>
        <v>valid</v>
      </c>
      <c r="CY42" s="66" t="str">
        <f t="shared" si="59"/>
        <v>MGSp</v>
      </c>
      <c r="CZ42" s="81">
        <f t="shared" si="60"/>
        <v>31.044266999999998</v>
      </c>
      <c r="DA42" s="59">
        <f t="shared" si="61"/>
        <v>11.037262600000004</v>
      </c>
      <c r="DB42" s="59">
        <f t="shared" si="62"/>
        <v>0</v>
      </c>
      <c r="DC42" s="59">
        <f t="shared" si="63"/>
        <v>10.853308223333336</v>
      </c>
      <c r="DD42" s="59">
        <f t="shared" si="64"/>
        <v>0</v>
      </c>
      <c r="DE42" s="79">
        <f t="shared" si="65"/>
        <v>32.447473307999999</v>
      </c>
      <c r="DF42" s="83">
        <f t="shared" si="66"/>
        <v>42.081529600000003</v>
      </c>
      <c r="DG42" s="365"/>
    </row>
    <row r="43" spans="2:255" ht="16.5" customHeight="1" x14ac:dyDescent="0.25">
      <c r="B43" s="414"/>
      <c r="C43" s="414" t="s">
        <v>245</v>
      </c>
      <c r="D43" s="48" t="s">
        <v>246</v>
      </c>
      <c r="E43" s="49" t="s">
        <v>954</v>
      </c>
      <c r="F43" s="415">
        <f t="shared" si="35"/>
        <v>0.85691025074237048</v>
      </c>
      <c r="G43" s="415" t="str">
        <f t="shared" ca="1" si="36"/>
        <v>Yes</v>
      </c>
      <c r="H43" s="51" t="str">
        <f t="shared" si="37"/>
        <v>Main - Genoa - Screacher - Spinnaker</v>
      </c>
      <c r="I43" s="52">
        <v>41434</v>
      </c>
      <c r="J43" s="52">
        <v>43140</v>
      </c>
      <c r="K43" s="53" t="s">
        <v>248</v>
      </c>
      <c r="L43" s="53" t="s">
        <v>841</v>
      </c>
      <c r="M43" s="54"/>
      <c r="N43" s="75" t="s">
        <v>127</v>
      </c>
      <c r="O43" s="75" t="s">
        <v>128</v>
      </c>
      <c r="P43" s="56"/>
      <c r="Q43" s="57">
        <v>8.7200000000000006</v>
      </c>
      <c r="R43" s="58"/>
      <c r="S43" s="59">
        <f t="shared" si="34"/>
        <v>0.21800000000000003</v>
      </c>
      <c r="T43" s="60">
        <v>0.02</v>
      </c>
      <c r="U43" s="60">
        <v>0</v>
      </c>
      <c r="V43" s="61">
        <f t="shared" si="33"/>
        <v>8.7000000000000011</v>
      </c>
      <c r="W43" s="62">
        <f>IF(RL&gt;0,IF(RL&gt;'Look Ups'!R$7,'Look Ups'!R$8,('Look Ups'!R$3*RL^3+'Look Ups'!R$4*RL^2+'Look Ups'!R$5*RL+'Look Ups'!R$6)),0)</f>
        <v>0.29591459900000006</v>
      </c>
      <c r="X43" s="63">
        <v>1585</v>
      </c>
      <c r="Y43" s="289"/>
      <c r="Z43" s="338"/>
      <c r="AA43" s="338"/>
      <c r="AB43" s="290">
        <f t="shared" si="38"/>
        <v>1585</v>
      </c>
      <c r="AC43" s="66">
        <f t="shared" si="39"/>
        <v>1585</v>
      </c>
      <c r="AD43" s="67" t="s">
        <v>129</v>
      </c>
      <c r="AE43" s="68" t="s">
        <v>130</v>
      </c>
      <c r="AF43" s="69" t="s">
        <v>131</v>
      </c>
      <c r="AG43" s="70">
        <f>IF(C43="",0,VLOOKUP(AD43,'Look Ups'!$B$3:$C$6,2,0)*VLOOKUP(AE43,'Look Ups'!$E$3:$F$5,2,0)*VLOOKUP(AF43,'Look Ups'!$H$3:$I$7,2,0))</f>
        <v>1</v>
      </c>
      <c r="AH43" s="71">
        <v>10.84</v>
      </c>
      <c r="AI43" s="60">
        <v>10.62</v>
      </c>
      <c r="AJ43" s="60">
        <v>3.5</v>
      </c>
      <c r="AK43" s="60">
        <v>1.2</v>
      </c>
      <c r="AL43" s="60">
        <v>0.35</v>
      </c>
      <c r="AM43" s="60">
        <v>10.8</v>
      </c>
      <c r="AN43" s="60">
        <v>0.1</v>
      </c>
      <c r="AO43" s="60">
        <v>3.65</v>
      </c>
      <c r="AP43" s="60">
        <v>0</v>
      </c>
      <c r="AQ43" s="60">
        <v>0.49</v>
      </c>
      <c r="AR43" s="60" t="s">
        <v>132</v>
      </c>
      <c r="AS43" s="75">
        <v>0</v>
      </c>
      <c r="AT43" s="59">
        <f t="shared" si="40"/>
        <v>10.8</v>
      </c>
      <c r="AU43" s="59">
        <f t="shared" si="41"/>
        <v>1.9845000000000004</v>
      </c>
      <c r="AV43" s="72">
        <f>IF(C43="",0,(0.5*(_ML1*LPM)+0.5*(_ML1*HB)+0.66*(P*PR)+0.66*(_ML2*RDM)+0.66*(E*ER))*VLOOKUP(BATT,'Look Ups'!$N$3:$O$4,2,0))</f>
        <v>28.64002</v>
      </c>
      <c r="AW43" s="73"/>
      <c r="AX43" s="74"/>
      <c r="AY43" s="71">
        <v>8.82</v>
      </c>
      <c r="AZ43" s="60">
        <v>3.3</v>
      </c>
      <c r="BA43" s="60">
        <v>3.57</v>
      </c>
      <c r="BB43" s="60">
        <v>0.21</v>
      </c>
      <c r="BC43" s="60">
        <v>7.94</v>
      </c>
      <c r="BD43" s="60">
        <v>7.8449999999999998</v>
      </c>
      <c r="BE43" s="60">
        <v>0.215</v>
      </c>
      <c r="BF43" s="60">
        <v>0.12</v>
      </c>
      <c r="BG43" s="60">
        <v>3.5000000000000003E-2</v>
      </c>
      <c r="BH43" s="75"/>
      <c r="BI43" s="72">
        <f t="shared" si="42"/>
        <v>16.726418000000002</v>
      </c>
      <c r="BJ43" s="76"/>
      <c r="BK43" s="77"/>
      <c r="BL43" s="78"/>
      <c r="BM43" s="78"/>
      <c r="BN43" s="77"/>
      <c r="BO43" s="78"/>
      <c r="BP43" s="78"/>
      <c r="BQ43" s="79">
        <f t="shared" si="43"/>
        <v>0</v>
      </c>
      <c r="BR43" s="80"/>
      <c r="BS43" s="77"/>
      <c r="BT43" s="77"/>
      <c r="BU43" s="77"/>
      <c r="BV43" s="77"/>
      <c r="BW43" s="77"/>
      <c r="BX43" s="77"/>
      <c r="BY43" s="72">
        <f t="shared" si="44"/>
        <v>0</v>
      </c>
      <c r="BZ43" s="73">
        <v>8.1</v>
      </c>
      <c r="CA43" s="60">
        <v>12.3</v>
      </c>
      <c r="CB43" s="60">
        <v>11.47</v>
      </c>
      <c r="CC43" s="60">
        <v>7.42</v>
      </c>
      <c r="CD43" s="65">
        <f t="shared" si="45"/>
        <v>91.604938271604937</v>
      </c>
      <c r="CE43" s="60">
        <v>0</v>
      </c>
      <c r="CF43" s="79">
        <f t="shared" si="46"/>
        <v>74.835883333333342</v>
      </c>
      <c r="CG43" s="71">
        <v>6.82</v>
      </c>
      <c r="CH43" s="60">
        <v>10.32</v>
      </c>
      <c r="CI43" s="60">
        <v>9.4</v>
      </c>
      <c r="CJ43" s="60">
        <v>3.57</v>
      </c>
      <c r="CK43" s="59">
        <f t="shared" si="47"/>
        <v>52.346041055718473</v>
      </c>
      <c r="CL43" s="60">
        <v>0</v>
      </c>
      <c r="CM43" s="72">
        <f t="shared" si="48"/>
        <v>34.67433333333333</v>
      </c>
      <c r="CN43" s="81">
        <f t="shared" si="49"/>
        <v>1</v>
      </c>
      <c r="CO43" s="59">
        <f t="shared" si="50"/>
        <v>30.624520000000004</v>
      </c>
      <c r="CP43" s="59">
        <f t="shared" si="51"/>
        <v>1</v>
      </c>
      <c r="CQ43" s="59">
        <f t="shared" si="52"/>
        <v>16.726418000000002</v>
      </c>
      <c r="CR43" s="59">
        <f>IF(AV43&gt;0,'Look Ups'!$L$3,0)</f>
        <v>1</v>
      </c>
      <c r="CS43" s="59">
        <f t="shared" si="53"/>
        <v>0</v>
      </c>
      <c r="CT43" s="59">
        <f t="shared" si="54"/>
        <v>0</v>
      </c>
      <c r="CU43" s="59">
        <f t="shared" si="55"/>
        <v>0</v>
      </c>
      <c r="CV43" s="79">
        <f t="shared" si="56"/>
        <v>0</v>
      </c>
      <c r="CW43" s="82" t="str">
        <f t="shared" si="57"/>
        <v>valid</v>
      </c>
      <c r="CX43" s="65" t="str">
        <f t="shared" si="58"/>
        <v>valid</v>
      </c>
      <c r="CY43" s="66" t="str">
        <f t="shared" si="59"/>
        <v>MGScrSp</v>
      </c>
      <c r="CZ43" s="81">
        <f t="shared" si="60"/>
        <v>47.350938000000006</v>
      </c>
      <c r="DA43" s="59">
        <f t="shared" si="61"/>
        <v>17.432839600000001</v>
      </c>
      <c r="DB43" s="59">
        <f t="shared" si="62"/>
        <v>6.281770366666664</v>
      </c>
      <c r="DC43" s="59">
        <f t="shared" si="63"/>
        <v>17.142292273333336</v>
      </c>
      <c r="DD43" s="59">
        <f t="shared" si="64"/>
        <v>0.98713534333333297</v>
      </c>
      <c r="DE43" s="79">
        <f t="shared" si="65"/>
        <v>48.851933016000004</v>
      </c>
      <c r="DF43" s="83">
        <f t="shared" si="66"/>
        <v>65.480365616666674</v>
      </c>
      <c r="DG43" s="365"/>
    </row>
    <row r="44" spans="2:255" s="209" customFormat="1" ht="16.5" customHeight="1" x14ac:dyDescent="0.25">
      <c r="B44" s="416"/>
      <c r="C44" s="414" t="s">
        <v>1088</v>
      </c>
      <c r="D44" s="48" t="s">
        <v>1089</v>
      </c>
      <c r="E44" s="49" t="s">
        <v>1090</v>
      </c>
      <c r="F44" s="415">
        <f t="shared" si="35"/>
        <v>1.0412809690478586</v>
      </c>
      <c r="G44" s="415" t="str">
        <f t="shared" ca="1" si="36"/>
        <v>Yes</v>
      </c>
      <c r="H44" s="51" t="str">
        <f t="shared" si="37"/>
        <v>Main - Genoa - Screacher - Spinnaker</v>
      </c>
      <c r="I44" s="52">
        <v>44748</v>
      </c>
      <c r="J44" s="52">
        <v>44939</v>
      </c>
      <c r="K44" s="53" t="s">
        <v>153</v>
      </c>
      <c r="L44" s="53" t="s">
        <v>614</v>
      </c>
      <c r="M44" s="54"/>
      <c r="N44" s="75" t="s">
        <v>149</v>
      </c>
      <c r="O44" s="75" t="s">
        <v>992</v>
      </c>
      <c r="P44" s="56"/>
      <c r="Q44" s="57">
        <v>8.01</v>
      </c>
      <c r="R44" s="58"/>
      <c r="S44" s="59">
        <f t="shared" si="34"/>
        <v>0.20025000000000001</v>
      </c>
      <c r="T44" s="60">
        <v>0</v>
      </c>
      <c r="U44" s="60">
        <v>0</v>
      </c>
      <c r="V44" s="61">
        <f t="shared" si="33"/>
        <v>8.01</v>
      </c>
      <c r="W44" s="62">
        <f>IF(RL&gt;0,IF(RL&gt;'Look Ups'!R$7,'Look Ups'!R$8,('Look Ups'!R$3*RL^3+'Look Ups'!R$4*RL^2+'Look Ups'!R$5*RL+'Look Ups'!R$6)),0)</f>
        <v>0.29383029923300003</v>
      </c>
      <c r="X44" s="63">
        <v>1013</v>
      </c>
      <c r="Y44" s="64"/>
      <c r="Z44" s="64"/>
      <c r="AA44" s="64"/>
      <c r="AB44" s="65">
        <f t="shared" si="38"/>
        <v>1013</v>
      </c>
      <c r="AC44" s="66">
        <f t="shared" si="39"/>
        <v>1013</v>
      </c>
      <c r="AD44" s="67" t="s">
        <v>1091</v>
      </c>
      <c r="AE44" s="68" t="s">
        <v>1092</v>
      </c>
      <c r="AF44" s="69" t="s">
        <v>131</v>
      </c>
      <c r="AG44" s="70">
        <f>IF(C44="",0,VLOOKUP(AD44,'Look Ups'!$B$3:$C$6,2,0)*VLOOKUP(AE44,'Look Ups'!$E$3:$F$5,2,0)*VLOOKUP(AF44,'Look Ups'!$H$3:$I$7,2,0))</f>
        <v>1</v>
      </c>
      <c r="AH44" s="71">
        <v>13.45</v>
      </c>
      <c r="AI44" s="60">
        <v>13.26</v>
      </c>
      <c r="AJ44" s="60">
        <v>3.67</v>
      </c>
      <c r="AK44" s="60">
        <v>1.1759999999999999</v>
      </c>
      <c r="AL44" s="60">
        <v>0.69899999999999995</v>
      </c>
      <c r="AM44" s="60">
        <v>13.2</v>
      </c>
      <c r="AN44" s="60">
        <v>0.03</v>
      </c>
      <c r="AO44" s="60">
        <v>3.74</v>
      </c>
      <c r="AP44" s="60">
        <v>0.09</v>
      </c>
      <c r="AQ44" s="60">
        <v>0.61</v>
      </c>
      <c r="AR44" s="60" t="s">
        <v>132</v>
      </c>
      <c r="AS44" s="75">
        <v>0</v>
      </c>
      <c r="AT44" s="59">
        <f t="shared" si="40"/>
        <v>13.29</v>
      </c>
      <c r="AU44" s="59">
        <f t="shared" si="41"/>
        <v>3.0194999999999994</v>
      </c>
      <c r="AV44" s="72">
        <f>IF(C44="",0,(0.5*(_ML1*LPM)+0.5*(_ML1*HB)+0.66*(P*PR)+0.66*(_ML2*RDM)+0.66*(E*ER))*VLOOKUP(BATT,'Look Ups'!$N$3:$O$4,2,0))</f>
        <v>39.190234399999994</v>
      </c>
      <c r="AW44" s="73"/>
      <c r="AX44" s="74"/>
      <c r="AY44" s="71">
        <v>12.7</v>
      </c>
      <c r="AZ44" s="60">
        <v>2.4700000000000002</v>
      </c>
      <c r="BA44" s="60">
        <v>2.61</v>
      </c>
      <c r="BB44" s="60">
        <v>1.2999999999999999E-2</v>
      </c>
      <c r="BC44" s="60">
        <v>12.04</v>
      </c>
      <c r="BD44" s="60">
        <v>12.022</v>
      </c>
      <c r="BE44" s="60">
        <v>9.9000000000000005E-2</v>
      </c>
      <c r="BF44" s="60">
        <v>0.23599999999999999</v>
      </c>
      <c r="BG44" s="60">
        <v>7.0999999999999994E-2</v>
      </c>
      <c r="BH44" s="75"/>
      <c r="BI44" s="72">
        <f t="shared" si="42"/>
        <v>18.770542519999999</v>
      </c>
      <c r="BJ44" s="76"/>
      <c r="BK44" s="77"/>
      <c r="BL44" s="78"/>
      <c r="BM44" s="78"/>
      <c r="BN44" s="77"/>
      <c r="BO44" s="78"/>
      <c r="BP44" s="78"/>
      <c r="BQ44" s="79">
        <f t="shared" si="43"/>
        <v>0</v>
      </c>
      <c r="BR44" s="80"/>
      <c r="BS44" s="77"/>
      <c r="BT44" s="77"/>
      <c r="BU44" s="77"/>
      <c r="BV44" s="77"/>
      <c r="BW44" s="77"/>
      <c r="BX44" s="77"/>
      <c r="BY44" s="72">
        <f t="shared" si="44"/>
        <v>0</v>
      </c>
      <c r="BZ44" s="73">
        <v>7.05</v>
      </c>
      <c r="CA44" s="60">
        <v>15.05</v>
      </c>
      <c r="CB44" s="60">
        <v>14.16</v>
      </c>
      <c r="CC44" s="60">
        <v>6.0549999999999997</v>
      </c>
      <c r="CD44" s="65">
        <f t="shared" si="45"/>
        <v>85.886524822695037</v>
      </c>
      <c r="CE44" s="60">
        <v>0</v>
      </c>
      <c r="CF44" s="79">
        <f t="shared" si="46"/>
        <v>76.116391666666658</v>
      </c>
      <c r="CG44" s="71">
        <v>7.08</v>
      </c>
      <c r="CH44" s="60">
        <v>14.08</v>
      </c>
      <c r="CI44" s="60">
        <v>13.89</v>
      </c>
      <c r="CJ44" s="60">
        <v>3.589</v>
      </c>
      <c r="CK44" s="59">
        <f t="shared" si="47"/>
        <v>50.692090395480228</v>
      </c>
      <c r="CL44" s="60">
        <v>0</v>
      </c>
      <c r="CM44" s="72">
        <f t="shared" si="48"/>
        <v>49.963743333333333</v>
      </c>
      <c r="CN44" s="81">
        <f t="shared" si="49"/>
        <v>1</v>
      </c>
      <c r="CO44" s="59">
        <f t="shared" si="50"/>
        <v>42.209734399999995</v>
      </c>
      <c r="CP44" s="59">
        <f t="shared" si="51"/>
        <v>1</v>
      </c>
      <c r="CQ44" s="59">
        <f t="shared" si="52"/>
        <v>18.770542519999999</v>
      </c>
      <c r="CR44" s="59">
        <f>IF(AV44&gt;0,'Look Ups'!$L$3,0)</f>
        <v>1</v>
      </c>
      <c r="CS44" s="59">
        <f t="shared" si="53"/>
        <v>0</v>
      </c>
      <c r="CT44" s="59">
        <f t="shared" si="54"/>
        <v>0</v>
      </c>
      <c r="CU44" s="59">
        <f t="shared" si="55"/>
        <v>0</v>
      </c>
      <c r="CV44" s="79">
        <f t="shared" si="56"/>
        <v>0</v>
      </c>
      <c r="CW44" s="82" t="str">
        <f t="shared" si="57"/>
        <v>valid</v>
      </c>
      <c r="CX44" s="65" t="str">
        <f t="shared" si="58"/>
        <v>valid</v>
      </c>
      <c r="CY44" s="66" t="str">
        <f t="shared" si="59"/>
        <v>MGScrSp</v>
      </c>
      <c r="CZ44" s="81">
        <f t="shared" si="60"/>
        <v>60.980276919999994</v>
      </c>
      <c r="DA44" s="59">
        <f t="shared" si="61"/>
        <v>17.203754743999998</v>
      </c>
      <c r="DB44" s="59">
        <f t="shared" si="62"/>
        <v>10.917620284666667</v>
      </c>
      <c r="DC44" s="59">
        <f t="shared" si="63"/>
        <v>16.917025498266664</v>
      </c>
      <c r="DD44" s="59">
        <f t="shared" si="64"/>
        <v>1.7156260447333334</v>
      </c>
      <c r="DE44" s="79">
        <f t="shared" si="65"/>
        <v>63.511709643039993</v>
      </c>
      <c r="DF44" s="83">
        <f t="shared" si="66"/>
        <v>79.612928462999989</v>
      </c>
      <c r="DG44" s="412"/>
      <c r="DH44" s="286"/>
      <c r="DI44" s="286"/>
      <c r="DJ44" s="286"/>
      <c r="DK44" s="286"/>
      <c r="DL44" s="286"/>
      <c r="DM44" s="286"/>
      <c r="DN44" s="286"/>
      <c r="DO44" s="286"/>
      <c r="DP44" s="286"/>
      <c r="DQ44" s="286"/>
      <c r="DR44" s="286"/>
      <c r="DS44" s="286"/>
      <c r="DT44" s="286"/>
      <c r="DU44" s="286"/>
      <c r="DV44" s="286"/>
      <c r="DW44" s="286"/>
      <c r="DX44" s="286"/>
      <c r="DY44" s="286"/>
      <c r="DZ44" s="286"/>
      <c r="EA44" s="286"/>
      <c r="EB44" s="286"/>
      <c r="EC44" s="286"/>
      <c r="ED44" s="286"/>
      <c r="EE44" s="286"/>
      <c r="EF44" s="286"/>
      <c r="EG44" s="286"/>
      <c r="EH44" s="286"/>
      <c r="EI44" s="286"/>
      <c r="EJ44" s="286"/>
      <c r="EK44" s="286"/>
      <c r="EL44" s="286"/>
      <c r="EM44" s="286"/>
      <c r="EN44" s="286"/>
      <c r="EO44" s="286"/>
      <c r="EP44" s="286"/>
      <c r="EQ44" s="286"/>
      <c r="ER44" s="286"/>
      <c r="ES44" s="286"/>
      <c r="ET44" s="286"/>
      <c r="EU44" s="286"/>
      <c r="EV44" s="286"/>
      <c r="EW44" s="287"/>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row>
    <row r="45" spans="2:255" ht="16.5" customHeight="1" x14ac:dyDescent="0.25">
      <c r="B45" s="414"/>
      <c r="C45" s="414" t="s">
        <v>250</v>
      </c>
      <c r="D45" s="48" t="s">
        <v>251</v>
      </c>
      <c r="E45" s="49" t="s">
        <v>179</v>
      </c>
      <c r="F45" s="415">
        <f t="shared" si="35"/>
        <v>0.96843830449337465</v>
      </c>
      <c r="G45" s="415" t="str">
        <f t="shared" ca="1" si="36"/>
        <v>No</v>
      </c>
      <c r="H45" s="51" t="str">
        <f t="shared" si="37"/>
        <v>Main - Genoa - Screacher - Spinnaker</v>
      </c>
      <c r="I45" s="52">
        <v>39040</v>
      </c>
      <c r="J45" s="52">
        <v>43420</v>
      </c>
      <c r="K45" s="53" t="s">
        <v>179</v>
      </c>
      <c r="L45" s="53" t="s">
        <v>841</v>
      </c>
      <c r="M45" s="54"/>
      <c r="N45" s="55" t="s">
        <v>149</v>
      </c>
      <c r="O45" s="55"/>
      <c r="P45" s="56">
        <v>5.8</v>
      </c>
      <c r="Q45" s="57">
        <v>8.7899999999999991</v>
      </c>
      <c r="R45" s="58"/>
      <c r="S45" s="59">
        <f t="shared" si="34"/>
        <v>0.21975</v>
      </c>
      <c r="T45" s="60">
        <v>0.21</v>
      </c>
      <c r="U45" s="60">
        <v>0</v>
      </c>
      <c r="V45" s="61">
        <f t="shared" si="33"/>
        <v>8.5799999999999983</v>
      </c>
      <c r="W45" s="62">
        <f>IF(RL&gt;0,IF(RL&gt;'Look Ups'!R$7,'Look Ups'!R$8,('Look Ups'!R$3*RL^3+'Look Ups'!R$4*RL^2+'Look Ups'!R$5*RL+'Look Ups'!R$6)),0)</f>
        <v>0.29559078749599998</v>
      </c>
      <c r="X45" s="63">
        <v>1350</v>
      </c>
      <c r="Y45" s="64"/>
      <c r="Z45" s="64"/>
      <c r="AA45" s="64"/>
      <c r="AB45" s="65">
        <f t="shared" si="38"/>
        <v>1350</v>
      </c>
      <c r="AC45" s="66">
        <f t="shared" si="39"/>
        <v>1350</v>
      </c>
      <c r="AD45" s="67" t="s">
        <v>129</v>
      </c>
      <c r="AE45" s="68" t="s">
        <v>130</v>
      </c>
      <c r="AF45" s="69" t="s">
        <v>131</v>
      </c>
      <c r="AG45" s="70">
        <f>IF(C45="",0,VLOOKUP(AD45,'Look Ups'!$B$3:$C$6,2,0)*VLOOKUP(AE45,'Look Ups'!$E$3:$F$5,2,0)*VLOOKUP(AF45,'Look Ups'!$H$3:$I$7,2,0))</f>
        <v>1</v>
      </c>
      <c r="AH45" s="71">
        <v>12.55</v>
      </c>
      <c r="AI45" s="60">
        <v>12.17</v>
      </c>
      <c r="AJ45" s="60">
        <v>3.8</v>
      </c>
      <c r="AK45" s="60">
        <v>1.4849999999999999</v>
      </c>
      <c r="AL45" s="60">
        <v>0.372</v>
      </c>
      <c r="AM45" s="60">
        <v>12.38</v>
      </c>
      <c r="AN45" s="60">
        <v>0.17</v>
      </c>
      <c r="AO45" s="60">
        <v>3.87</v>
      </c>
      <c r="AP45" s="60">
        <v>0.05</v>
      </c>
      <c r="AQ45" s="60">
        <v>0.35</v>
      </c>
      <c r="AR45" s="60" t="s">
        <v>132</v>
      </c>
      <c r="AS45" s="75">
        <v>0</v>
      </c>
      <c r="AT45" s="59">
        <f t="shared" si="40"/>
        <v>12.430000000000001</v>
      </c>
      <c r="AU45" s="59">
        <f t="shared" si="41"/>
        <v>1.6248749999999998</v>
      </c>
      <c r="AV45" s="72">
        <f>IF(C45="",0,(0.5*(_ML1*LPM)+0.5*(_ML1*HB)+0.66*(P*PR)+0.66*(_ML2*RDM)+0.66*(E*ER))*VLOOKUP(BATT,'Look Ups'!$N$3:$O$4,2,0))</f>
        <v>37.668099400000003</v>
      </c>
      <c r="AW45" s="73"/>
      <c r="AX45" s="74"/>
      <c r="AY45" s="71">
        <v>11.05</v>
      </c>
      <c r="AZ45" s="60">
        <v>2.6829999999999998</v>
      </c>
      <c r="BA45" s="60">
        <v>2.8</v>
      </c>
      <c r="BB45" s="60">
        <v>0.1</v>
      </c>
      <c r="BC45" s="60">
        <v>10.63</v>
      </c>
      <c r="BD45" s="60"/>
      <c r="BE45" s="60"/>
      <c r="BF45" s="60">
        <v>-3.5000000000000003E-2</v>
      </c>
      <c r="BG45" s="60">
        <v>-8.7999999999999995E-2</v>
      </c>
      <c r="BH45" s="75">
        <v>0</v>
      </c>
      <c r="BI45" s="72">
        <f t="shared" si="42"/>
        <v>14.121038</v>
      </c>
      <c r="BJ45" s="76"/>
      <c r="BK45" s="77"/>
      <c r="BL45" s="78"/>
      <c r="BM45" s="78"/>
      <c r="BN45" s="77"/>
      <c r="BO45" s="78"/>
      <c r="BP45" s="78"/>
      <c r="BQ45" s="79">
        <f t="shared" si="43"/>
        <v>0</v>
      </c>
      <c r="BR45" s="80"/>
      <c r="BS45" s="77"/>
      <c r="BT45" s="77"/>
      <c r="BU45" s="77"/>
      <c r="BV45" s="77"/>
      <c r="BW45" s="77"/>
      <c r="BX45" s="77"/>
      <c r="BY45" s="72">
        <f t="shared" si="44"/>
        <v>0</v>
      </c>
      <c r="BZ45" s="73">
        <v>8.8000000000000007</v>
      </c>
      <c r="CA45" s="60">
        <v>15.15</v>
      </c>
      <c r="CB45" s="60">
        <v>13.45</v>
      </c>
      <c r="CC45" s="60">
        <v>7.77</v>
      </c>
      <c r="CD45" s="65">
        <f t="shared" si="45"/>
        <v>88.295454545454533</v>
      </c>
      <c r="CE45" s="60">
        <v>0</v>
      </c>
      <c r="CF45" s="79">
        <f t="shared" si="46"/>
        <v>95.047333333333341</v>
      </c>
      <c r="CG45" s="71">
        <v>5.37</v>
      </c>
      <c r="CH45" s="60">
        <v>13.23</v>
      </c>
      <c r="CI45" s="60">
        <v>12.03</v>
      </c>
      <c r="CJ45" s="60">
        <v>4</v>
      </c>
      <c r="CK45" s="59">
        <f t="shared" si="47"/>
        <v>74.487895716945999</v>
      </c>
      <c r="CL45" s="60">
        <v>0</v>
      </c>
      <c r="CM45" s="72">
        <f t="shared" si="48"/>
        <v>44.983849999999997</v>
      </c>
      <c r="CN45" s="81">
        <f t="shared" si="49"/>
        <v>1</v>
      </c>
      <c r="CO45" s="59">
        <f t="shared" si="50"/>
        <v>39.292974400000006</v>
      </c>
      <c r="CP45" s="59">
        <f t="shared" si="51"/>
        <v>1</v>
      </c>
      <c r="CQ45" s="59">
        <f t="shared" si="52"/>
        <v>14.121038</v>
      </c>
      <c r="CR45" s="59">
        <f>IF(AV45&gt;0,'Look Ups'!$L$3,0)</f>
        <v>1</v>
      </c>
      <c r="CS45" s="59">
        <f t="shared" si="53"/>
        <v>0</v>
      </c>
      <c r="CT45" s="59">
        <f t="shared" si="54"/>
        <v>0</v>
      </c>
      <c r="CU45" s="59">
        <f t="shared" si="55"/>
        <v>0</v>
      </c>
      <c r="CV45" s="79">
        <f t="shared" si="56"/>
        <v>0</v>
      </c>
      <c r="CW45" s="82" t="str">
        <f t="shared" si="57"/>
        <v>valid</v>
      </c>
      <c r="CX45" s="65" t="str">
        <f t="shared" si="58"/>
        <v>valid</v>
      </c>
      <c r="CY45" s="66" t="str">
        <f t="shared" si="59"/>
        <v>MGScrSp</v>
      </c>
      <c r="CZ45" s="81">
        <f t="shared" si="60"/>
        <v>53.414012400000004</v>
      </c>
      <c r="DA45" s="59">
        <f t="shared" si="61"/>
        <v>24.277888600000001</v>
      </c>
      <c r="DB45" s="59">
        <f t="shared" si="62"/>
        <v>10.801984199999998</v>
      </c>
      <c r="DC45" s="59">
        <f t="shared" si="63"/>
        <v>23.873257123333335</v>
      </c>
      <c r="DD45" s="59">
        <f t="shared" si="64"/>
        <v>1.69745466</v>
      </c>
      <c r="DE45" s="79">
        <f t="shared" si="65"/>
        <v>56.132581531200003</v>
      </c>
      <c r="DF45" s="83">
        <f t="shared" si="66"/>
        <v>78.984724183333341</v>
      </c>
      <c r="DG45" s="287"/>
    </row>
    <row r="46" spans="2:255" s="209" customFormat="1" ht="16.5" customHeight="1" x14ac:dyDescent="0.25">
      <c r="B46" s="414"/>
      <c r="C46" s="414" t="s">
        <v>527</v>
      </c>
      <c r="D46" s="48" t="s">
        <v>528</v>
      </c>
      <c r="E46" s="49" t="s">
        <v>460</v>
      </c>
      <c r="F46" s="415">
        <f t="shared" si="35"/>
        <v>1.2435327755693317</v>
      </c>
      <c r="G46" s="415" t="str">
        <f t="shared" ca="1" si="36"/>
        <v>Yes</v>
      </c>
      <c r="H46" s="51" t="str">
        <f t="shared" si="37"/>
        <v>Main - Genoa - Screacher</v>
      </c>
      <c r="I46" s="52">
        <v>42590</v>
      </c>
      <c r="J46" s="52" t="s">
        <v>529</v>
      </c>
      <c r="K46" s="53" t="s">
        <v>171</v>
      </c>
      <c r="L46" s="53" t="s">
        <v>137</v>
      </c>
      <c r="M46" s="54"/>
      <c r="N46" s="55" t="s">
        <v>149</v>
      </c>
      <c r="O46" s="55"/>
      <c r="P46" s="56"/>
      <c r="Q46" s="57">
        <v>10</v>
      </c>
      <c r="R46" s="58"/>
      <c r="S46" s="59">
        <f t="shared" si="34"/>
        <v>0.25</v>
      </c>
      <c r="T46" s="60"/>
      <c r="U46" s="60"/>
      <c r="V46" s="61">
        <f t="shared" ref="V46:V77" si="67">IF((LOAA&gt;LOA),LOAA,LOA-FOC-AOC)</f>
        <v>10</v>
      </c>
      <c r="W46" s="62">
        <f>IF(RL&gt;0,IF(RL&gt;'Look Ups'!R$7,'Look Ups'!R$8,('Look Ups'!R$3*RL^3+'Look Ups'!R$4*RL^2+'Look Ups'!R$5*RL+'Look Ups'!R$6)),0)</f>
        <v>0.29850000000000004</v>
      </c>
      <c r="X46" s="63">
        <v>1090</v>
      </c>
      <c r="Y46" s="64"/>
      <c r="Z46" s="64"/>
      <c r="AA46" s="64"/>
      <c r="AB46" s="65">
        <f t="shared" si="38"/>
        <v>1090</v>
      </c>
      <c r="AC46" s="66">
        <f t="shared" si="39"/>
        <v>1090</v>
      </c>
      <c r="AD46" s="67" t="s">
        <v>129</v>
      </c>
      <c r="AE46" s="68" t="s">
        <v>836</v>
      </c>
      <c r="AF46" s="69" t="s">
        <v>131</v>
      </c>
      <c r="AG46" s="70">
        <f>IF(C46="",0,VLOOKUP(AD46,'Look Ups'!$B$3:$C$6,2,0)*VLOOKUP(AE46,'Look Ups'!$E$3:$F$5,2,0)*VLOOKUP(AF46,'Look Ups'!$H$3:$I$7,2,0))</f>
        <v>1.0149999999999999</v>
      </c>
      <c r="AH46" s="71">
        <v>15.95</v>
      </c>
      <c r="AI46" s="60">
        <v>15.65</v>
      </c>
      <c r="AJ46" s="60">
        <v>4.29</v>
      </c>
      <c r="AK46" s="60">
        <v>1.88</v>
      </c>
      <c r="AL46" s="60">
        <v>0.30000000000000004</v>
      </c>
      <c r="AM46" s="60">
        <v>15.7</v>
      </c>
      <c r="AN46" s="60">
        <v>0.18</v>
      </c>
      <c r="AO46" s="60">
        <v>4.3499999999999996</v>
      </c>
      <c r="AP46" s="60">
        <v>0.01</v>
      </c>
      <c r="AQ46" s="60">
        <v>0.75</v>
      </c>
      <c r="AR46" s="60" t="s">
        <v>132</v>
      </c>
      <c r="AS46" s="75"/>
      <c r="AT46" s="59">
        <f t="shared" si="40"/>
        <v>15.709999999999999</v>
      </c>
      <c r="AU46" s="59">
        <f t="shared" si="41"/>
        <v>4.4156249999999995</v>
      </c>
      <c r="AV46" s="72">
        <f>IF(C46="",0,(0.5*(_ML1*LPM)+0.5*(_ML1*HB)+0.66*(P*PR)+0.66*(_ML2*RDM)+0.66*(E*ER))*VLOOKUP(BATT,'Look Ups'!$N$3:$O$4,2,0))</f>
        <v>54.198319999999995</v>
      </c>
      <c r="AW46" s="73"/>
      <c r="AX46" s="74"/>
      <c r="AY46" s="71">
        <v>13.02</v>
      </c>
      <c r="AZ46" s="60">
        <v>3.165</v>
      </c>
      <c r="BA46" s="60">
        <v>3.35</v>
      </c>
      <c r="BB46" s="60">
        <v>0.1</v>
      </c>
      <c r="BC46" s="60">
        <v>12.43</v>
      </c>
      <c r="BD46" s="60">
        <v>12.43</v>
      </c>
      <c r="BE46" s="60">
        <v>0.35</v>
      </c>
      <c r="BF46" s="60">
        <v>0</v>
      </c>
      <c r="BG46" s="60">
        <v>0.06</v>
      </c>
      <c r="BH46" s="75"/>
      <c r="BI46" s="72">
        <f t="shared" si="42"/>
        <v>23.516092</v>
      </c>
      <c r="BJ46" s="76"/>
      <c r="BK46" s="77"/>
      <c r="BL46" s="78"/>
      <c r="BM46" s="78"/>
      <c r="BN46" s="77"/>
      <c r="BO46" s="78"/>
      <c r="BP46" s="78"/>
      <c r="BQ46" s="79">
        <f t="shared" si="43"/>
        <v>0</v>
      </c>
      <c r="BR46" s="80"/>
      <c r="BS46" s="77"/>
      <c r="BT46" s="77"/>
      <c r="BU46" s="77"/>
      <c r="BV46" s="77"/>
      <c r="BW46" s="77"/>
      <c r="BX46" s="77"/>
      <c r="BY46" s="72">
        <f t="shared" si="44"/>
        <v>0</v>
      </c>
      <c r="BZ46" s="73"/>
      <c r="CA46" s="60"/>
      <c r="CB46" s="60"/>
      <c r="CC46" s="60"/>
      <c r="CD46" s="65" t="str">
        <f t="shared" si="45"/>
        <v/>
      </c>
      <c r="CE46" s="60"/>
      <c r="CF46" s="79">
        <f t="shared" si="46"/>
        <v>0</v>
      </c>
      <c r="CG46" s="71">
        <v>10.6</v>
      </c>
      <c r="CH46" s="60">
        <v>17.63</v>
      </c>
      <c r="CI46" s="60">
        <v>15.75</v>
      </c>
      <c r="CJ46" s="60">
        <v>5.32</v>
      </c>
      <c r="CK46" s="59">
        <f t="shared" si="47"/>
        <v>50.188679245283019</v>
      </c>
      <c r="CL46" s="60"/>
      <c r="CM46" s="72">
        <f t="shared" si="48"/>
        <v>88.679533333333325</v>
      </c>
      <c r="CN46" s="81">
        <f t="shared" si="49"/>
        <v>1</v>
      </c>
      <c r="CO46" s="59">
        <f t="shared" si="50"/>
        <v>58.613944999999994</v>
      </c>
      <c r="CP46" s="59">
        <f t="shared" si="51"/>
        <v>1</v>
      </c>
      <c r="CQ46" s="59">
        <f t="shared" si="52"/>
        <v>23.516092</v>
      </c>
      <c r="CR46" s="59">
        <f>IF(AV46&gt;0,'Look Ups'!$L$3,0)</f>
        <v>1</v>
      </c>
      <c r="CS46" s="59">
        <f t="shared" si="53"/>
        <v>0</v>
      </c>
      <c r="CT46" s="59">
        <f t="shared" si="54"/>
        <v>0</v>
      </c>
      <c r="CU46" s="59">
        <f t="shared" si="55"/>
        <v>0</v>
      </c>
      <c r="CV46" s="79">
        <f t="shared" si="56"/>
        <v>0</v>
      </c>
      <c r="CW46" s="82" t="str">
        <f t="shared" si="57"/>
        <v>valid</v>
      </c>
      <c r="CX46" s="65" t="str">
        <f t="shared" si="58"/>
        <v>-</v>
      </c>
      <c r="CY46" s="66" t="str">
        <f t="shared" si="59"/>
        <v>MGScr</v>
      </c>
      <c r="CZ46" s="81">
        <f t="shared" si="60"/>
        <v>82.130036999999987</v>
      </c>
      <c r="DA46" s="59">
        <f t="shared" si="61"/>
        <v>0</v>
      </c>
      <c r="DB46" s="59">
        <f t="shared" si="62"/>
        <v>22.807204466666661</v>
      </c>
      <c r="DC46" s="59">
        <f t="shared" si="63"/>
        <v>0</v>
      </c>
      <c r="DD46" s="59">
        <f t="shared" si="64"/>
        <v>3.5839892733333327</v>
      </c>
      <c r="DE46" s="79">
        <f t="shared" si="65"/>
        <v>85.920605123999991</v>
      </c>
      <c r="DF46" s="83">
        <f t="shared" si="66"/>
        <v>104.93724146666665</v>
      </c>
      <c r="DG46" s="365"/>
      <c r="DH46" s="286"/>
      <c r="DI46" s="286"/>
      <c r="DJ46" s="286"/>
      <c r="DK46" s="286"/>
      <c r="DL46" s="286"/>
      <c r="DM46" s="286"/>
      <c r="DN46" s="286"/>
      <c r="DO46" s="286"/>
      <c r="DP46" s="286"/>
      <c r="DQ46" s="286"/>
      <c r="DR46" s="286"/>
      <c r="DS46" s="286"/>
      <c r="DT46" s="286"/>
      <c r="DU46" s="286"/>
      <c r="DV46" s="286"/>
      <c r="DW46" s="286"/>
      <c r="DX46" s="286"/>
      <c r="DY46" s="286"/>
      <c r="DZ46" s="286"/>
      <c r="EA46" s="286"/>
      <c r="EB46" s="286"/>
      <c r="EC46" s="286"/>
      <c r="ED46" s="286"/>
      <c r="EE46" s="286"/>
      <c r="EF46" s="286"/>
      <c r="EG46" s="286"/>
      <c r="EH46" s="286"/>
      <c r="EI46" s="286"/>
      <c r="EJ46" s="286"/>
      <c r="EK46" s="286"/>
      <c r="EL46" s="286"/>
      <c r="EM46" s="286"/>
      <c r="EN46" s="286"/>
      <c r="EO46" s="286"/>
      <c r="EP46" s="286"/>
      <c r="EQ46" s="286"/>
      <c r="ER46" s="286"/>
      <c r="ES46" s="286"/>
      <c r="ET46" s="286"/>
      <c r="EU46" s="286"/>
      <c r="EV46" s="286"/>
      <c r="EW46" s="287"/>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row>
    <row r="47" spans="2:255" ht="16.5" customHeight="1" x14ac:dyDescent="0.25">
      <c r="B47" s="414"/>
      <c r="C47" s="414" t="s">
        <v>252</v>
      </c>
      <c r="D47" s="48" t="s">
        <v>253</v>
      </c>
      <c r="E47" s="49" t="s">
        <v>254</v>
      </c>
      <c r="F47" s="415">
        <f t="shared" si="35"/>
        <v>0.87148039411875966</v>
      </c>
      <c r="G47" s="415" t="str">
        <f t="shared" ca="1" si="36"/>
        <v>No</v>
      </c>
      <c r="H47" s="51" t="str">
        <f t="shared" si="37"/>
        <v>Main - Genoa - Spinnaker</v>
      </c>
      <c r="I47" s="52">
        <v>39537</v>
      </c>
      <c r="J47" s="52">
        <v>40504</v>
      </c>
      <c r="K47" s="53" t="s">
        <v>255</v>
      </c>
      <c r="L47" s="53" t="s">
        <v>126</v>
      </c>
      <c r="M47" s="54"/>
      <c r="N47" s="75" t="s">
        <v>127</v>
      </c>
      <c r="O47" s="75" t="s">
        <v>128</v>
      </c>
      <c r="P47" s="56">
        <v>6.88</v>
      </c>
      <c r="Q47" s="57">
        <v>9.5</v>
      </c>
      <c r="R47" s="58"/>
      <c r="S47" s="59">
        <f t="shared" si="34"/>
        <v>0.23750000000000002</v>
      </c>
      <c r="T47" s="60">
        <v>0.12</v>
      </c>
      <c r="U47" s="60">
        <v>0</v>
      </c>
      <c r="V47" s="61">
        <f t="shared" si="67"/>
        <v>9.3800000000000008</v>
      </c>
      <c r="W47" s="62">
        <f>IF(RL&gt;0,IF(RL&gt;'Look Ups'!R$7,'Look Ups'!R$8,('Look Ups'!R$3*RL^3+'Look Ups'!R$4*RL^2+'Look Ups'!R$5*RL+'Look Ups'!R$6)),0)</f>
        <v>0.29746653117600003</v>
      </c>
      <c r="X47" s="63">
        <v>2079</v>
      </c>
      <c r="Y47" s="64"/>
      <c r="Z47" s="64"/>
      <c r="AA47" s="64"/>
      <c r="AB47" s="65">
        <f t="shared" si="38"/>
        <v>2079</v>
      </c>
      <c r="AC47" s="66">
        <f t="shared" si="39"/>
        <v>2079</v>
      </c>
      <c r="AD47" s="67" t="s">
        <v>129</v>
      </c>
      <c r="AE47" s="68" t="s">
        <v>130</v>
      </c>
      <c r="AF47" s="69" t="s">
        <v>131</v>
      </c>
      <c r="AG47" s="70">
        <f>IF(C47="",0,VLOOKUP(AD47,'Look Ups'!$B$3:$C$6,2,0)*VLOOKUP(AE47,'Look Ups'!$E$3:$F$5,2,0)*VLOOKUP(AF47,'Look Ups'!$H$3:$I$7,2,0))</f>
        <v>1</v>
      </c>
      <c r="AH47" s="71">
        <v>12.53</v>
      </c>
      <c r="AI47" s="60">
        <v>12.23</v>
      </c>
      <c r="AJ47" s="60">
        <v>4.1900000000000004</v>
      </c>
      <c r="AK47" s="60">
        <v>1.08</v>
      </c>
      <c r="AL47" s="60">
        <v>0.66</v>
      </c>
      <c r="AM47" s="60">
        <v>12.6</v>
      </c>
      <c r="AN47" s="60">
        <v>0.16</v>
      </c>
      <c r="AO47" s="60">
        <v>4.37</v>
      </c>
      <c r="AP47" s="60">
        <v>0</v>
      </c>
      <c r="AQ47" s="60">
        <v>0</v>
      </c>
      <c r="AR47" s="60" t="s">
        <v>132</v>
      </c>
      <c r="AS47" s="75" t="s">
        <v>256</v>
      </c>
      <c r="AT47" s="59">
        <f t="shared" si="40"/>
        <v>12.6</v>
      </c>
      <c r="AU47" s="59">
        <f t="shared" si="41"/>
        <v>0</v>
      </c>
      <c r="AV47" s="72">
        <f>IF(C47="",0,(0.5*(_ML1*LPM)+0.5*(_ML1*HB)+0.66*(P*PR)+0.66*(_ML2*RDM)+0.66*(E*ER))*VLOOKUP(BATT,'Look Ups'!$N$3:$O$4,2,0))</f>
        <v>39.674498</v>
      </c>
      <c r="AW47" s="73"/>
      <c r="AX47" s="74"/>
      <c r="AY47" s="71">
        <v>11.27</v>
      </c>
      <c r="AZ47" s="60">
        <v>3.37</v>
      </c>
      <c r="BA47" s="60">
        <v>3.71</v>
      </c>
      <c r="BB47" s="60">
        <v>0.15</v>
      </c>
      <c r="BC47" s="60">
        <v>10.28</v>
      </c>
      <c r="BD47" s="60"/>
      <c r="BE47" s="60"/>
      <c r="BF47" s="60">
        <v>0</v>
      </c>
      <c r="BG47" s="60">
        <v>-0.02</v>
      </c>
      <c r="BH47" s="75">
        <v>0</v>
      </c>
      <c r="BI47" s="72">
        <f t="shared" si="42"/>
        <v>19.208476000000001</v>
      </c>
      <c r="BJ47" s="76"/>
      <c r="BK47" s="77"/>
      <c r="BL47" s="78"/>
      <c r="BM47" s="78"/>
      <c r="BN47" s="77"/>
      <c r="BO47" s="78"/>
      <c r="BP47" s="78"/>
      <c r="BQ47" s="79">
        <f t="shared" si="43"/>
        <v>0</v>
      </c>
      <c r="BR47" s="80"/>
      <c r="BS47" s="77"/>
      <c r="BT47" s="77"/>
      <c r="BU47" s="77"/>
      <c r="BV47" s="77"/>
      <c r="BW47" s="77"/>
      <c r="BX47" s="77"/>
      <c r="BY47" s="72">
        <f t="shared" si="44"/>
        <v>0</v>
      </c>
      <c r="BZ47" s="73">
        <v>8.56</v>
      </c>
      <c r="CA47" s="60">
        <v>14.13</v>
      </c>
      <c r="CB47" s="60">
        <v>13.02</v>
      </c>
      <c r="CC47" s="60">
        <v>7.7</v>
      </c>
      <c r="CD47" s="65">
        <f t="shared" si="45"/>
        <v>89.953271028037392</v>
      </c>
      <c r="CE47" s="60">
        <v>0</v>
      </c>
      <c r="CF47" s="79">
        <f t="shared" si="46"/>
        <v>89.051999999999992</v>
      </c>
      <c r="CG47" s="71"/>
      <c r="CH47" s="60"/>
      <c r="CI47" s="60"/>
      <c r="CJ47" s="60"/>
      <c r="CK47" s="59" t="str">
        <f t="shared" si="47"/>
        <v/>
      </c>
      <c r="CL47" s="60">
        <v>0</v>
      </c>
      <c r="CM47" s="72">
        <f t="shared" si="48"/>
        <v>0</v>
      </c>
      <c r="CN47" s="81">
        <f t="shared" si="49"/>
        <v>1</v>
      </c>
      <c r="CO47" s="59">
        <f t="shared" si="50"/>
        <v>39.674498</v>
      </c>
      <c r="CP47" s="59">
        <f t="shared" si="51"/>
        <v>1</v>
      </c>
      <c r="CQ47" s="59">
        <f t="shared" si="52"/>
        <v>19.208476000000001</v>
      </c>
      <c r="CR47" s="59">
        <f>IF(AV47&gt;0,'Look Ups'!$L$3,0)</f>
        <v>1</v>
      </c>
      <c r="CS47" s="59">
        <f t="shared" si="53"/>
        <v>0</v>
      </c>
      <c r="CT47" s="59">
        <f t="shared" si="54"/>
        <v>0</v>
      </c>
      <c r="CU47" s="59">
        <f t="shared" si="55"/>
        <v>0</v>
      </c>
      <c r="CV47" s="79">
        <f t="shared" si="56"/>
        <v>0</v>
      </c>
      <c r="CW47" s="82" t="str">
        <f t="shared" si="57"/>
        <v>-</v>
      </c>
      <c r="CX47" s="65" t="str">
        <f t="shared" si="58"/>
        <v>valid</v>
      </c>
      <c r="CY47" s="66" t="str">
        <f t="shared" si="59"/>
        <v>MGSp</v>
      </c>
      <c r="CZ47" s="81">
        <f t="shared" si="60"/>
        <v>58.882974000000004</v>
      </c>
      <c r="DA47" s="59">
        <f t="shared" si="61"/>
        <v>20.953057199999996</v>
      </c>
      <c r="DB47" s="59">
        <f t="shared" si="62"/>
        <v>0</v>
      </c>
      <c r="DC47" s="59">
        <f t="shared" si="63"/>
        <v>20.603839579999995</v>
      </c>
      <c r="DD47" s="59">
        <f t="shared" si="64"/>
        <v>0</v>
      </c>
      <c r="DE47" s="79">
        <f t="shared" si="65"/>
        <v>61.093304376000006</v>
      </c>
      <c r="DF47" s="83">
        <f t="shared" si="66"/>
        <v>79.836031200000008</v>
      </c>
      <c r="DG47" s="412"/>
      <c r="EW47" s="365"/>
    </row>
    <row r="48" spans="2:255" ht="16.5" customHeight="1" x14ac:dyDescent="0.25">
      <c r="B48" s="414"/>
      <c r="C48" s="414" t="s">
        <v>876</v>
      </c>
      <c r="D48" s="84" t="s">
        <v>473</v>
      </c>
      <c r="E48" s="49" t="s">
        <v>877</v>
      </c>
      <c r="F48" s="415">
        <f t="shared" si="35"/>
        <v>0.89491305310313374</v>
      </c>
      <c r="G48" s="415" t="str">
        <f t="shared" ca="1" si="36"/>
        <v>No</v>
      </c>
      <c r="H48" s="51" t="str">
        <f t="shared" si="37"/>
        <v>Main - Genoa - Spinnaker</v>
      </c>
      <c r="I48" s="52">
        <v>42672</v>
      </c>
      <c r="J48" s="52">
        <v>43781</v>
      </c>
      <c r="K48" s="53" t="s">
        <v>136</v>
      </c>
      <c r="L48" s="53" t="s">
        <v>841</v>
      </c>
      <c r="M48" s="54"/>
      <c r="N48" s="75" t="s">
        <v>127</v>
      </c>
      <c r="O48" s="75" t="s">
        <v>128</v>
      </c>
      <c r="P48" s="85"/>
      <c r="Q48" s="57">
        <v>8.17</v>
      </c>
      <c r="R48" s="58"/>
      <c r="S48" s="59">
        <f t="shared" si="34"/>
        <v>0.20425000000000001</v>
      </c>
      <c r="T48" s="60">
        <v>0.05</v>
      </c>
      <c r="U48" s="60"/>
      <c r="V48" s="61">
        <f t="shared" si="67"/>
        <v>8.1199999999999992</v>
      </c>
      <c r="W48" s="62">
        <f>IF(RL&gt;0,IF(RL&gt;'Look Ups'!R$7,'Look Ups'!R$8,('Look Ups'!R$3*RL^3+'Look Ups'!R$4*RL^2+'Look Ups'!R$5*RL+'Look Ups'!R$6)),0)</f>
        <v>0.294199621824</v>
      </c>
      <c r="X48" s="63">
        <v>1120</v>
      </c>
      <c r="Y48" s="64"/>
      <c r="Z48" s="64"/>
      <c r="AA48" s="64"/>
      <c r="AB48" s="65">
        <f t="shared" si="38"/>
        <v>1120</v>
      </c>
      <c r="AC48" s="66">
        <f t="shared" si="39"/>
        <v>1120</v>
      </c>
      <c r="AD48" s="67" t="s">
        <v>129</v>
      </c>
      <c r="AE48" s="68" t="s">
        <v>130</v>
      </c>
      <c r="AF48" s="69" t="s">
        <v>131</v>
      </c>
      <c r="AG48" s="70">
        <f>IF(C48="",0,VLOOKUP(AD48,'Look Ups'!$B$3:$C$6,2,0)*VLOOKUP(AE48,'Look Ups'!$E$3:$F$5,2,0)*VLOOKUP(AF48,'Look Ups'!$H$3:$I$7,2,0))</f>
        <v>1</v>
      </c>
      <c r="AH48" s="71">
        <v>10.58</v>
      </c>
      <c r="AI48" s="60">
        <v>10.58</v>
      </c>
      <c r="AJ48" s="60">
        <v>3.13</v>
      </c>
      <c r="AK48" s="60">
        <v>0</v>
      </c>
      <c r="AL48" s="60">
        <v>1.54</v>
      </c>
      <c r="AM48" s="60">
        <v>10.3</v>
      </c>
      <c r="AN48" s="60">
        <v>0.03</v>
      </c>
      <c r="AO48" s="60">
        <v>3.23</v>
      </c>
      <c r="AP48" s="60">
        <v>7.0000000000000007E-2</v>
      </c>
      <c r="AQ48" s="60">
        <v>0.48</v>
      </c>
      <c r="AR48" s="60" t="s">
        <v>132</v>
      </c>
      <c r="AS48" s="75"/>
      <c r="AT48" s="59">
        <f t="shared" si="40"/>
        <v>10.370000000000001</v>
      </c>
      <c r="AU48" s="59">
        <f t="shared" si="41"/>
        <v>1.8540000000000001</v>
      </c>
      <c r="AV48" s="72">
        <f>IF(C48="",0,(0.5*(_ML1*LPM)+0.5*(_ML1*HB)+0.66*(P*PR)+0.66*(_ML2*RDM)+0.66*(E*ER))*VLOOKUP(BATT,'Look Ups'!$N$3:$O$4,2,0))</f>
        <v>27.664377999999999</v>
      </c>
      <c r="AW48" s="73"/>
      <c r="AX48" s="74"/>
      <c r="AY48" s="322">
        <v>9.16</v>
      </c>
      <c r="AZ48" s="323">
        <v>3.07</v>
      </c>
      <c r="BA48" s="323">
        <v>3.37</v>
      </c>
      <c r="BB48" s="323">
        <v>1.4999999999999999E-2</v>
      </c>
      <c r="BC48" s="323">
        <v>8.26</v>
      </c>
      <c r="BD48" s="323"/>
      <c r="BE48" s="323"/>
      <c r="BF48" s="323">
        <v>0.19</v>
      </c>
      <c r="BG48" s="323">
        <v>-0.06</v>
      </c>
      <c r="BH48" s="75" t="s">
        <v>541</v>
      </c>
      <c r="BI48" s="72">
        <f t="shared" si="42"/>
        <v>14.767030999999999</v>
      </c>
      <c r="BJ48" s="76"/>
      <c r="BK48" s="77"/>
      <c r="BL48" s="78"/>
      <c r="BM48" s="78"/>
      <c r="BN48" s="77"/>
      <c r="BO48" s="78"/>
      <c r="BP48" s="78"/>
      <c r="BQ48" s="79">
        <f t="shared" si="43"/>
        <v>0</v>
      </c>
      <c r="BR48" s="80"/>
      <c r="BS48" s="77"/>
      <c r="BT48" s="77"/>
      <c r="BU48" s="77"/>
      <c r="BV48" s="77"/>
      <c r="BW48" s="77"/>
      <c r="BX48" s="77"/>
      <c r="BY48" s="72">
        <f t="shared" si="44"/>
        <v>0</v>
      </c>
      <c r="BZ48" s="439">
        <v>8.01</v>
      </c>
      <c r="CA48" s="323">
        <v>11.96</v>
      </c>
      <c r="CB48" s="323">
        <v>11.07</v>
      </c>
      <c r="CC48" s="323">
        <v>6.07</v>
      </c>
      <c r="CD48" s="65">
        <f t="shared" si="45"/>
        <v>75.780274656679154</v>
      </c>
      <c r="CE48" s="75"/>
      <c r="CF48" s="79">
        <f t="shared" si="46"/>
        <v>61.969891666666676</v>
      </c>
      <c r="CG48" s="322">
        <v>7.55</v>
      </c>
      <c r="CH48" s="323">
        <v>10.86</v>
      </c>
      <c r="CI48" s="323">
        <v>9.5</v>
      </c>
      <c r="CJ48" s="323">
        <v>6.07</v>
      </c>
      <c r="CK48" s="59">
        <f t="shared" si="47"/>
        <v>80.397350993377486</v>
      </c>
      <c r="CL48" s="75"/>
      <c r="CM48" s="72">
        <f t="shared" si="48"/>
        <v>54.004899999999999</v>
      </c>
      <c r="CN48" s="81">
        <f t="shared" si="49"/>
        <v>1</v>
      </c>
      <c r="CO48" s="59">
        <f t="shared" si="50"/>
        <v>29.518377999999998</v>
      </c>
      <c r="CP48" s="59">
        <f t="shared" si="51"/>
        <v>1</v>
      </c>
      <c r="CQ48" s="59">
        <f t="shared" si="52"/>
        <v>14.767030999999999</v>
      </c>
      <c r="CR48" s="59">
        <f>IF(AV48&gt;0,'Look Ups'!$L$3,0)</f>
        <v>1</v>
      </c>
      <c r="CS48" s="59">
        <f t="shared" si="53"/>
        <v>0</v>
      </c>
      <c r="CT48" s="59">
        <f t="shared" si="54"/>
        <v>0</v>
      </c>
      <c r="CU48" s="59">
        <f t="shared" si="55"/>
        <v>0</v>
      </c>
      <c r="CV48" s="79">
        <f t="shared" si="56"/>
        <v>0</v>
      </c>
      <c r="CW48" s="82" t="str">
        <f t="shared" si="57"/>
        <v>ERROR</v>
      </c>
      <c r="CX48" s="65" t="str">
        <f t="shared" si="58"/>
        <v>valid</v>
      </c>
      <c r="CY48" s="66" t="str">
        <f t="shared" si="59"/>
        <v>MGSp</v>
      </c>
      <c r="CZ48" s="81">
        <f t="shared" si="60"/>
        <v>44.285409000000001</v>
      </c>
      <c r="DA48" s="59">
        <f t="shared" si="61"/>
        <v>14.160858200000003</v>
      </c>
      <c r="DB48" s="59">
        <f t="shared" si="62"/>
        <v>13.73325415</v>
      </c>
      <c r="DC48" s="59">
        <f t="shared" si="63"/>
        <v>13.924843896666671</v>
      </c>
      <c r="DD48" s="59">
        <f t="shared" si="64"/>
        <v>2.1580827950000003</v>
      </c>
      <c r="DE48" s="79">
        <f t="shared" si="65"/>
        <v>45.878554475999998</v>
      </c>
      <c r="DF48" s="83">
        <f t="shared" si="66"/>
        <v>58.446267200000008</v>
      </c>
      <c r="DG48" s="427"/>
      <c r="EW48" s="365"/>
    </row>
    <row r="49" spans="2:111" ht="16.5" customHeight="1" x14ac:dyDescent="0.25">
      <c r="B49" s="418"/>
      <c r="C49" s="414" t="s">
        <v>263</v>
      </c>
      <c r="D49" s="84" t="s">
        <v>264</v>
      </c>
      <c r="E49" s="170" t="s">
        <v>198</v>
      </c>
      <c r="F49" s="415">
        <f t="shared" si="35"/>
        <v>0.98460688889609049</v>
      </c>
      <c r="G49" s="415" t="str">
        <f t="shared" ca="1" si="36"/>
        <v>Yes</v>
      </c>
      <c r="H49" s="51" t="str">
        <f t="shared" si="37"/>
        <v>Main - Genoa - Screacher - Spinnaker</v>
      </c>
      <c r="I49" s="52">
        <v>44580</v>
      </c>
      <c r="J49" s="52">
        <v>41077</v>
      </c>
      <c r="K49" s="53" t="s">
        <v>849</v>
      </c>
      <c r="L49" s="53" t="s">
        <v>614</v>
      </c>
      <c r="M49" s="54"/>
      <c r="N49" s="75" t="s">
        <v>149</v>
      </c>
      <c r="O49" s="75"/>
      <c r="P49" s="85"/>
      <c r="Q49" s="57">
        <v>8.5500000000000007</v>
      </c>
      <c r="R49" s="58"/>
      <c r="S49" s="59">
        <f t="shared" si="34"/>
        <v>0.21375000000000002</v>
      </c>
      <c r="T49" s="60">
        <v>0.02</v>
      </c>
      <c r="U49" s="60"/>
      <c r="V49" s="61">
        <f t="shared" si="67"/>
        <v>8.5300000000000011</v>
      </c>
      <c r="W49" s="62">
        <f>IF(RL&gt;0,IF(RL&gt;'Look Ups'!R$7,'Look Ups'!R$8,('Look Ups'!R$3*RL^3+'Look Ups'!R$4*RL^2+'Look Ups'!R$5*RL+'Look Ups'!R$6)),0)</f>
        <v>0.29545120574100003</v>
      </c>
      <c r="X49" s="63">
        <v>1155</v>
      </c>
      <c r="Y49" s="64"/>
      <c r="Z49" s="64"/>
      <c r="AA49" s="64"/>
      <c r="AB49" s="65">
        <f t="shared" si="38"/>
        <v>1155</v>
      </c>
      <c r="AC49" s="66">
        <f t="shared" si="39"/>
        <v>1155</v>
      </c>
      <c r="AD49" s="67" t="s">
        <v>129</v>
      </c>
      <c r="AE49" s="68" t="s">
        <v>130</v>
      </c>
      <c r="AF49" s="69" t="s">
        <v>131</v>
      </c>
      <c r="AG49" s="70">
        <f>IF(C49="",0,VLOOKUP(AD49,'Look Ups'!$B$3:$C$6,2,0)*VLOOKUP(AE49,'Look Ups'!$E$3:$F$5,2,0)*VLOOKUP(AF49,'Look Ups'!$H$3:$I$7,2,0))</f>
        <v>1</v>
      </c>
      <c r="AH49" s="71">
        <v>12.62</v>
      </c>
      <c r="AI49" s="60">
        <v>12.345000000000001</v>
      </c>
      <c r="AJ49" s="60">
        <v>3.53</v>
      </c>
      <c r="AK49" s="60">
        <v>1.4570000000000001</v>
      </c>
      <c r="AL49" s="60">
        <v>0.24</v>
      </c>
      <c r="AM49" s="60">
        <v>12.397</v>
      </c>
      <c r="AN49" s="60">
        <v>0.11700000000000001</v>
      </c>
      <c r="AO49" s="60">
        <v>3.5960000000000001</v>
      </c>
      <c r="AP49" s="60">
        <v>7.2999999999999995E-2</v>
      </c>
      <c r="AQ49" s="60"/>
      <c r="AR49" s="60" t="s">
        <v>132</v>
      </c>
      <c r="AS49" s="75"/>
      <c r="AT49" s="59">
        <f t="shared" si="40"/>
        <v>12.47</v>
      </c>
      <c r="AU49" s="59">
        <f t="shared" si="41"/>
        <v>0</v>
      </c>
      <c r="AV49" s="72">
        <f>IF(C49="",0,(0.5*(_ML1*LPM)+0.5*(_ML1*HB)+0.66*(P*PR)+0.66*(_ML2*RDM)+0.66*(E*ER))*VLOOKUP(BATT,'Look Ups'!$N$3:$O$4,2,0))</f>
        <v>34.55396961999999</v>
      </c>
      <c r="AW49" s="73"/>
      <c r="AX49" s="74"/>
      <c r="AY49" s="71">
        <v>10.86</v>
      </c>
      <c r="AZ49" s="60">
        <v>2.4649999999999999</v>
      </c>
      <c r="BA49" s="60">
        <v>2.5880000000000001</v>
      </c>
      <c r="BB49" s="60">
        <v>4.2999999999999997E-2</v>
      </c>
      <c r="BC49" s="60">
        <v>10.297000000000001</v>
      </c>
      <c r="BD49" s="60">
        <v>0</v>
      </c>
      <c r="BE49" s="60">
        <v>5.8999999999999997E-2</v>
      </c>
      <c r="BF49" s="60">
        <v>0.182</v>
      </c>
      <c r="BG49" s="60">
        <v>7.9000000000000001E-2</v>
      </c>
      <c r="BH49" s="75"/>
      <c r="BI49" s="72">
        <f t="shared" si="42"/>
        <v>14.328399339999999</v>
      </c>
      <c r="BJ49" s="76"/>
      <c r="BK49" s="77"/>
      <c r="BL49" s="78"/>
      <c r="BM49" s="78"/>
      <c r="BN49" s="77"/>
      <c r="BO49" s="78"/>
      <c r="BP49" s="78"/>
      <c r="BQ49" s="79">
        <f t="shared" si="43"/>
        <v>0</v>
      </c>
      <c r="BR49" s="80"/>
      <c r="BS49" s="77"/>
      <c r="BT49" s="77"/>
      <c r="BU49" s="77"/>
      <c r="BV49" s="77"/>
      <c r="BW49" s="77"/>
      <c r="BX49" s="77"/>
      <c r="BY49" s="72">
        <f t="shared" si="44"/>
        <v>0</v>
      </c>
      <c r="BZ49" s="73">
        <v>8.3979999999999997</v>
      </c>
      <c r="CA49" s="60">
        <v>15.71</v>
      </c>
      <c r="CB49" s="60">
        <v>13.183999999999999</v>
      </c>
      <c r="CC49" s="60">
        <v>7.4130000000000003</v>
      </c>
      <c r="CD49" s="65">
        <f t="shared" si="45"/>
        <v>88.271016908787814</v>
      </c>
      <c r="CE49" s="75"/>
      <c r="CF49" s="79">
        <f t="shared" si="46"/>
        <v>91.618058333333323</v>
      </c>
      <c r="CG49" s="71">
        <v>6.27</v>
      </c>
      <c r="CH49" s="60">
        <v>12.18</v>
      </c>
      <c r="CI49" s="60">
        <v>10.85</v>
      </c>
      <c r="CJ49" s="60">
        <v>3.16</v>
      </c>
      <c r="CK49" s="59">
        <f t="shared" si="47"/>
        <v>50.398724082934606</v>
      </c>
      <c r="CL49" s="75"/>
      <c r="CM49" s="72">
        <f t="shared" si="48"/>
        <v>36.291441666666671</v>
      </c>
      <c r="CN49" s="81">
        <f t="shared" si="49"/>
        <v>1</v>
      </c>
      <c r="CO49" s="59">
        <f t="shared" si="50"/>
        <v>34.55396961999999</v>
      </c>
      <c r="CP49" s="59">
        <f t="shared" si="51"/>
        <v>1</v>
      </c>
      <c r="CQ49" s="59">
        <f t="shared" si="52"/>
        <v>14.328399339999999</v>
      </c>
      <c r="CR49" s="59">
        <f>IF(AV49&gt;0,'Look Ups'!$L$3,0)</f>
        <v>1</v>
      </c>
      <c r="CS49" s="59">
        <f t="shared" si="53"/>
        <v>0</v>
      </c>
      <c r="CT49" s="59">
        <f t="shared" si="54"/>
        <v>0</v>
      </c>
      <c r="CU49" s="59">
        <f t="shared" si="55"/>
        <v>0</v>
      </c>
      <c r="CV49" s="79">
        <f t="shared" si="56"/>
        <v>0</v>
      </c>
      <c r="CW49" s="82" t="str">
        <f t="shared" si="57"/>
        <v>valid</v>
      </c>
      <c r="CX49" s="65" t="str">
        <f t="shared" si="58"/>
        <v>valid</v>
      </c>
      <c r="CY49" s="66" t="str">
        <f t="shared" si="59"/>
        <v>MGScrSp</v>
      </c>
      <c r="CZ49" s="81">
        <f t="shared" si="60"/>
        <v>48.882368959999987</v>
      </c>
      <c r="DA49" s="59">
        <f t="shared" si="61"/>
        <v>23.186897697999996</v>
      </c>
      <c r="DB49" s="59">
        <f t="shared" si="62"/>
        <v>7.6870648143333353</v>
      </c>
      <c r="DC49" s="59">
        <f t="shared" si="63"/>
        <v>22.800449403033326</v>
      </c>
      <c r="DD49" s="59">
        <f t="shared" si="64"/>
        <v>1.2079673279666672</v>
      </c>
      <c r="DE49" s="79">
        <f t="shared" si="65"/>
        <v>51.066730550239988</v>
      </c>
      <c r="DF49" s="83">
        <f t="shared" si="66"/>
        <v>72.890785690999977</v>
      </c>
      <c r="DG49" s="426">
        <f>IF(CZ49="MG",DF49,IF(CZ49="MGScr",RAMG+RASCO,IF(CZ49="MGSp",RAMG+RASPO,IF(CZ49="MGScrSp",RAMG+RASPSC+RASCR,0))))+RSAST+RSAD+RSAMZ+RSA2M</f>
        <v>0</v>
      </c>
    </row>
    <row r="50" spans="2:111" ht="16.5" customHeight="1" x14ac:dyDescent="0.25">
      <c r="B50" s="416"/>
      <c r="C50" s="418" t="s">
        <v>634</v>
      </c>
      <c r="D50" s="169" t="s">
        <v>635</v>
      </c>
      <c r="E50" s="170" t="s">
        <v>484</v>
      </c>
      <c r="F50" s="415">
        <f t="shared" si="35"/>
        <v>0.94379500762987434</v>
      </c>
      <c r="G50" s="415" t="str">
        <f t="shared" ca="1" si="36"/>
        <v>Yes</v>
      </c>
      <c r="H50" s="51" t="str">
        <f t="shared" si="37"/>
        <v>Main - Genoa - Screacher - Spinnaker</v>
      </c>
      <c r="I50" s="171">
        <v>44231</v>
      </c>
      <c r="J50" s="171">
        <v>44231</v>
      </c>
      <c r="K50" s="172" t="s">
        <v>1044</v>
      </c>
      <c r="L50" s="172" t="s">
        <v>1031</v>
      </c>
      <c r="M50" s="171"/>
      <c r="N50" s="87" t="s">
        <v>127</v>
      </c>
      <c r="O50" s="87" t="s">
        <v>128</v>
      </c>
      <c r="P50" s="186"/>
      <c r="Q50" s="175">
        <v>9.36</v>
      </c>
      <c r="R50" s="78"/>
      <c r="S50" s="59">
        <f t="shared" si="34"/>
        <v>0.23399999999999999</v>
      </c>
      <c r="T50" s="176">
        <v>0.12</v>
      </c>
      <c r="U50" s="176">
        <v>0</v>
      </c>
      <c r="V50" s="61">
        <f t="shared" si="67"/>
        <v>9.24</v>
      </c>
      <c r="W50" s="62">
        <f>IF(RL&gt;0,IF(RL&gt;'Look Ups'!R$7,'Look Ups'!R$8,('Look Ups'!R$3*RL^3+'Look Ups'!R$4*RL^2+'Look Ups'!R$5*RL+'Look Ups'!R$6)),0)</f>
        <v>0.29718469779200002</v>
      </c>
      <c r="X50" s="177">
        <v>1597</v>
      </c>
      <c r="Y50" s="178"/>
      <c r="Z50" s="178"/>
      <c r="AA50" s="178"/>
      <c r="AB50" s="65">
        <f t="shared" si="38"/>
        <v>1597</v>
      </c>
      <c r="AC50" s="66">
        <f t="shared" si="39"/>
        <v>1597</v>
      </c>
      <c r="AD50" s="179" t="s">
        <v>129</v>
      </c>
      <c r="AE50" s="180" t="s">
        <v>130</v>
      </c>
      <c r="AF50" s="181" t="s">
        <v>131</v>
      </c>
      <c r="AG50" s="70">
        <f>IF(C50="",0,VLOOKUP(AD50,'Look Ups'!$B$3:$C$6,2,0)*VLOOKUP(AE50,'Look Ups'!$E$3:$F$5,2,0)*VLOOKUP(AF50,'Look Ups'!$H$3:$I$7,2,0))</f>
        <v>1</v>
      </c>
      <c r="AH50" s="80">
        <v>12.37</v>
      </c>
      <c r="AI50" s="77">
        <v>12.04</v>
      </c>
      <c r="AJ50" s="77">
        <v>4.13</v>
      </c>
      <c r="AK50" s="77">
        <v>1.087</v>
      </c>
      <c r="AL50" s="77">
        <v>0.628</v>
      </c>
      <c r="AM50" s="77">
        <v>11.798999999999999</v>
      </c>
      <c r="AN50" s="77">
        <v>5.7000000000000002E-2</v>
      </c>
      <c r="AO50" s="77">
        <v>4.3099999999999996</v>
      </c>
      <c r="AP50" s="77">
        <v>4.0000000000000001E-3</v>
      </c>
      <c r="AQ50" s="77">
        <v>0.57000000000000006</v>
      </c>
      <c r="AR50" s="77" t="s">
        <v>132</v>
      </c>
      <c r="AS50" s="87">
        <v>0</v>
      </c>
      <c r="AT50" s="59">
        <f t="shared" si="40"/>
        <v>11.802999999999999</v>
      </c>
      <c r="AU50" s="59">
        <f t="shared" si="41"/>
        <v>2.5220362500000002</v>
      </c>
      <c r="AV50" s="72">
        <f>IF(C50="",0,(0.5*(_ML1*LPM)+0.5*(_ML1*HB)+0.66*(P*PR)+0.66*(_ML2*RDM)+0.66*(E*ER))*VLOOKUP(BATT,'Look Ups'!$N$3:$O$4,2,0))</f>
        <v>37.71274098</v>
      </c>
      <c r="AW50" s="182"/>
      <c r="AX50" s="183"/>
      <c r="AY50" s="80">
        <v>10.09</v>
      </c>
      <c r="AZ50" s="77">
        <v>3.69</v>
      </c>
      <c r="BA50" s="77">
        <v>4.0199999999999996</v>
      </c>
      <c r="BB50" s="77">
        <v>0.08</v>
      </c>
      <c r="BC50" s="77">
        <v>9.08</v>
      </c>
      <c r="BD50" s="77"/>
      <c r="BE50" s="77"/>
      <c r="BF50" s="77">
        <v>-0.08</v>
      </c>
      <c r="BG50" s="77">
        <v>-0.13</v>
      </c>
      <c r="BH50" s="87">
        <v>0</v>
      </c>
      <c r="BI50" s="72">
        <f t="shared" si="42"/>
        <v>17.483159999999994</v>
      </c>
      <c r="BJ50" s="76"/>
      <c r="BK50" s="77"/>
      <c r="BL50" s="78"/>
      <c r="BM50" s="78"/>
      <c r="BN50" s="77"/>
      <c r="BO50" s="78"/>
      <c r="BP50" s="78"/>
      <c r="BQ50" s="79">
        <f t="shared" si="43"/>
        <v>0</v>
      </c>
      <c r="BR50" s="80"/>
      <c r="BS50" s="77"/>
      <c r="BT50" s="77"/>
      <c r="BU50" s="77"/>
      <c r="BV50" s="77"/>
      <c r="BW50" s="77"/>
      <c r="BX50" s="77"/>
      <c r="BY50" s="72">
        <f t="shared" si="44"/>
        <v>0</v>
      </c>
      <c r="BZ50" s="73">
        <v>8.52</v>
      </c>
      <c r="CA50" s="60">
        <v>14.45</v>
      </c>
      <c r="CB50" s="60">
        <v>12.97</v>
      </c>
      <c r="CC50" s="60">
        <v>7.43</v>
      </c>
      <c r="CD50" s="65">
        <f t="shared" si="45"/>
        <v>87.206572769953056</v>
      </c>
      <c r="CE50" s="77">
        <v>0</v>
      </c>
      <c r="CF50" s="79">
        <f t="shared" si="46"/>
        <v>87.378399999999999</v>
      </c>
      <c r="CG50" s="71">
        <v>6.6449999999999996</v>
      </c>
      <c r="CH50" s="60">
        <v>11.69</v>
      </c>
      <c r="CI50" s="60">
        <v>9.9700000000000006</v>
      </c>
      <c r="CJ50" s="60">
        <v>4.08</v>
      </c>
      <c r="CK50" s="59">
        <f t="shared" si="47"/>
        <v>61.399548532731387</v>
      </c>
      <c r="CL50" s="77">
        <v>0</v>
      </c>
      <c r="CM50" s="72">
        <f t="shared" si="48"/>
        <v>41.451824999999999</v>
      </c>
      <c r="CN50" s="81">
        <f t="shared" si="49"/>
        <v>1</v>
      </c>
      <c r="CO50" s="59">
        <f t="shared" si="50"/>
        <v>40.234777229999999</v>
      </c>
      <c r="CP50" s="59">
        <f t="shared" si="51"/>
        <v>1</v>
      </c>
      <c r="CQ50" s="59">
        <f t="shared" si="52"/>
        <v>17.483159999999994</v>
      </c>
      <c r="CR50" s="59">
        <f>IF(AV50&gt;0,'Look Ups'!$L$3,0)</f>
        <v>1</v>
      </c>
      <c r="CS50" s="59">
        <f t="shared" si="53"/>
        <v>0</v>
      </c>
      <c r="CT50" s="59">
        <f t="shared" si="54"/>
        <v>0</v>
      </c>
      <c r="CU50" s="59">
        <f t="shared" si="55"/>
        <v>0</v>
      </c>
      <c r="CV50" s="79">
        <f t="shared" si="56"/>
        <v>0</v>
      </c>
      <c r="CW50" s="82" t="str">
        <f t="shared" si="57"/>
        <v>valid</v>
      </c>
      <c r="CX50" s="65" t="str">
        <f t="shared" si="58"/>
        <v>valid</v>
      </c>
      <c r="CY50" s="66" t="str">
        <f t="shared" si="59"/>
        <v>MGScrSp</v>
      </c>
      <c r="CZ50" s="81">
        <f t="shared" si="60"/>
        <v>57.71793722999999</v>
      </c>
      <c r="DA50" s="59">
        <f t="shared" si="61"/>
        <v>20.968571999999998</v>
      </c>
      <c r="DB50" s="59">
        <f t="shared" si="62"/>
        <v>8.3890327500000019</v>
      </c>
      <c r="DC50" s="59">
        <f t="shared" si="63"/>
        <v>20.6190958</v>
      </c>
      <c r="DD50" s="59">
        <f t="shared" si="64"/>
        <v>1.3182765750000003</v>
      </c>
      <c r="DE50" s="79">
        <f t="shared" si="65"/>
        <v>60.175111890839993</v>
      </c>
      <c r="DF50" s="83">
        <f t="shared" si="66"/>
        <v>79.655309604999985</v>
      </c>
      <c r="DG50" s="412"/>
    </row>
    <row r="51" spans="2:111" ht="16.5" customHeight="1" x14ac:dyDescent="0.25">
      <c r="B51" s="414"/>
      <c r="C51" s="414" t="s">
        <v>903</v>
      </c>
      <c r="D51" s="48" t="s">
        <v>884</v>
      </c>
      <c r="E51" s="49" t="s">
        <v>899</v>
      </c>
      <c r="F51" s="415">
        <f t="shared" si="35"/>
        <v>0.9652788843009581</v>
      </c>
      <c r="G51" s="415" t="str">
        <f t="shared" ca="1" si="36"/>
        <v>Yes</v>
      </c>
      <c r="H51" s="51" t="str">
        <f t="shared" si="37"/>
        <v>Main - Genoa - Screacher</v>
      </c>
      <c r="I51" s="52">
        <v>42823</v>
      </c>
      <c r="J51" s="52">
        <v>42829</v>
      </c>
      <c r="K51" s="53" t="s">
        <v>260</v>
      </c>
      <c r="L51" s="53" t="s">
        <v>841</v>
      </c>
      <c r="M51" s="54"/>
      <c r="N51" s="55" t="s">
        <v>127</v>
      </c>
      <c r="O51" s="55" t="s">
        <v>138</v>
      </c>
      <c r="P51" s="56"/>
      <c r="Q51" s="57">
        <v>7.26</v>
      </c>
      <c r="R51" s="58"/>
      <c r="S51" s="59">
        <f t="shared" si="34"/>
        <v>0.18149999999999999</v>
      </c>
      <c r="T51" s="60"/>
      <c r="U51" s="60"/>
      <c r="V51" s="61">
        <f t="shared" si="67"/>
        <v>7.26</v>
      </c>
      <c r="W51" s="62">
        <f>IF(RL&gt;0,IF(RL&gt;'Look Ups'!R$7,'Look Ups'!R$8,('Look Ups'!R$3*RL^3+'Look Ups'!R$4*RL^2+'Look Ups'!R$5*RL+'Look Ups'!R$6)),0)</f>
        <v>0.290907046808</v>
      </c>
      <c r="X51" s="63">
        <v>584</v>
      </c>
      <c r="Y51" s="64"/>
      <c r="Z51" s="64"/>
      <c r="AA51" s="64"/>
      <c r="AB51" s="65">
        <f t="shared" si="38"/>
        <v>584</v>
      </c>
      <c r="AC51" s="66">
        <f t="shared" si="39"/>
        <v>584</v>
      </c>
      <c r="AD51" s="67" t="s">
        <v>129</v>
      </c>
      <c r="AE51" s="68" t="s">
        <v>130</v>
      </c>
      <c r="AF51" s="69" t="s">
        <v>131</v>
      </c>
      <c r="AG51" s="70">
        <f>IF(C51="",0,VLOOKUP(AD51,'Look Ups'!$B$3:$C$6,2,0)*VLOOKUP(AE51,'Look Ups'!$E$3:$F$5,2,0)*VLOOKUP(AF51,'Look Ups'!$H$3:$I$7,2,0))</f>
        <v>1</v>
      </c>
      <c r="AH51" s="71">
        <v>10.66</v>
      </c>
      <c r="AI51" s="60">
        <v>10.61</v>
      </c>
      <c r="AJ51" s="60">
        <v>2.94</v>
      </c>
      <c r="AK51" s="60">
        <v>1.38</v>
      </c>
      <c r="AL51" s="60">
        <v>0.13</v>
      </c>
      <c r="AM51" s="60">
        <v>10.74</v>
      </c>
      <c r="AN51" s="60">
        <v>0.09</v>
      </c>
      <c r="AO51" s="60">
        <v>2.97</v>
      </c>
      <c r="AP51" s="60">
        <v>0</v>
      </c>
      <c r="AQ51" s="60">
        <v>0.51</v>
      </c>
      <c r="AR51" s="60" t="s">
        <v>132</v>
      </c>
      <c r="AS51" s="75"/>
      <c r="AT51" s="59">
        <f t="shared" si="40"/>
        <v>10.74</v>
      </c>
      <c r="AU51" s="59">
        <f t="shared" si="41"/>
        <v>2.0540249999999998</v>
      </c>
      <c r="AV51" s="72">
        <f>IF(C51="",0,(0.5*(_ML1*LPM)+0.5*(_ML1*HB)+0.66*(P*PR)+0.66*(_ML2*RDM)+0.66*(E*ER))*VLOOKUP(BATT,'Look Ups'!$N$3:$O$4,2,0))</f>
        <v>24.573893999999996</v>
      </c>
      <c r="AW51" s="73"/>
      <c r="AX51" s="74"/>
      <c r="AY51" s="71">
        <v>9.19</v>
      </c>
      <c r="AZ51" s="60">
        <v>2.08</v>
      </c>
      <c r="BA51" s="60">
        <v>2.3199999999999998</v>
      </c>
      <c r="BB51" s="60">
        <v>0.05</v>
      </c>
      <c r="BC51" s="60">
        <v>8.3699999999999992</v>
      </c>
      <c r="BD51" s="60"/>
      <c r="BE51" s="60"/>
      <c r="BF51" s="60">
        <v>-7.0000000000000007E-2</v>
      </c>
      <c r="BG51" s="60"/>
      <c r="BH51" s="75"/>
      <c r="BI51" s="72">
        <f t="shared" si="42"/>
        <v>9.2474659999999993</v>
      </c>
      <c r="BJ51" s="76"/>
      <c r="BK51" s="77"/>
      <c r="BL51" s="78"/>
      <c r="BM51" s="78"/>
      <c r="BN51" s="77"/>
      <c r="BO51" s="78"/>
      <c r="BP51" s="78"/>
      <c r="BQ51" s="79">
        <f t="shared" si="43"/>
        <v>0</v>
      </c>
      <c r="BR51" s="80"/>
      <c r="BS51" s="77"/>
      <c r="BT51" s="77"/>
      <c r="BU51" s="77"/>
      <c r="BV51" s="77"/>
      <c r="BW51" s="77"/>
      <c r="BX51" s="77"/>
      <c r="BY51" s="72">
        <f t="shared" si="44"/>
        <v>0</v>
      </c>
      <c r="BZ51" s="73"/>
      <c r="CA51" s="60"/>
      <c r="CB51" s="60"/>
      <c r="CC51" s="60"/>
      <c r="CD51" s="65" t="str">
        <f t="shared" si="45"/>
        <v/>
      </c>
      <c r="CE51" s="60"/>
      <c r="CF51" s="79">
        <f t="shared" si="46"/>
        <v>0</v>
      </c>
      <c r="CG51" s="71">
        <v>6.24</v>
      </c>
      <c r="CH51" s="60">
        <v>11.56</v>
      </c>
      <c r="CI51" s="60">
        <v>9.9600000000000009</v>
      </c>
      <c r="CJ51" s="60">
        <v>3.73</v>
      </c>
      <c r="CK51" s="59">
        <f t="shared" si="47"/>
        <v>59.775641025641022</v>
      </c>
      <c r="CL51" s="60"/>
      <c r="CM51" s="72">
        <f t="shared" si="48"/>
        <v>37.946933333333334</v>
      </c>
      <c r="CN51" s="81">
        <f t="shared" si="49"/>
        <v>1</v>
      </c>
      <c r="CO51" s="59">
        <f t="shared" si="50"/>
        <v>26.627918999999999</v>
      </c>
      <c r="CP51" s="59">
        <f t="shared" si="51"/>
        <v>1</v>
      </c>
      <c r="CQ51" s="59">
        <f t="shared" si="52"/>
        <v>9.2474659999999993</v>
      </c>
      <c r="CR51" s="59">
        <f>IF(AV51&gt;0,'Look Ups'!$L$3,0)</f>
        <v>1</v>
      </c>
      <c r="CS51" s="59">
        <f t="shared" si="53"/>
        <v>0</v>
      </c>
      <c r="CT51" s="59">
        <f t="shared" si="54"/>
        <v>0</v>
      </c>
      <c r="CU51" s="59">
        <f t="shared" si="55"/>
        <v>0</v>
      </c>
      <c r="CV51" s="79">
        <f t="shared" si="56"/>
        <v>0</v>
      </c>
      <c r="CW51" s="82" t="str">
        <f t="shared" si="57"/>
        <v>valid</v>
      </c>
      <c r="CX51" s="65" t="str">
        <f t="shared" si="58"/>
        <v>-</v>
      </c>
      <c r="CY51" s="66" t="str">
        <f t="shared" si="59"/>
        <v>MGScr</v>
      </c>
      <c r="CZ51" s="81">
        <f t="shared" si="60"/>
        <v>35.875384999999994</v>
      </c>
      <c r="DA51" s="59">
        <f t="shared" si="61"/>
        <v>0</v>
      </c>
      <c r="DB51" s="59">
        <f t="shared" si="62"/>
        <v>10.044813566666667</v>
      </c>
      <c r="DC51" s="59">
        <f t="shared" si="63"/>
        <v>0</v>
      </c>
      <c r="DD51" s="59">
        <f t="shared" si="64"/>
        <v>1.5784707033333334</v>
      </c>
      <c r="DE51" s="79">
        <f t="shared" si="65"/>
        <v>37.752473923999993</v>
      </c>
      <c r="DF51" s="83">
        <f t="shared" si="66"/>
        <v>45.920198566666663</v>
      </c>
      <c r="DG51" s="412"/>
    </row>
    <row r="52" spans="2:111" ht="16.5" customHeight="1" x14ac:dyDescent="0.25">
      <c r="B52" s="416"/>
      <c r="C52" s="418" t="s">
        <v>943</v>
      </c>
      <c r="D52" s="169" t="s">
        <v>420</v>
      </c>
      <c r="E52" s="170" t="s">
        <v>948</v>
      </c>
      <c r="F52" s="415">
        <f t="shared" si="35"/>
        <v>0.94187508718868174</v>
      </c>
      <c r="G52" s="415" t="str">
        <f t="shared" ca="1" si="36"/>
        <v>Yes</v>
      </c>
      <c r="H52" s="51" t="str">
        <f t="shared" si="37"/>
        <v>Main - Genoa - Screacher - Spinnaker</v>
      </c>
      <c r="I52" s="171">
        <v>44419</v>
      </c>
      <c r="J52" s="171">
        <v>44778</v>
      </c>
      <c r="K52" s="172" t="s">
        <v>1096</v>
      </c>
      <c r="L52" s="172" t="s">
        <v>614</v>
      </c>
      <c r="M52" s="171"/>
      <c r="N52" s="173" t="s">
        <v>127</v>
      </c>
      <c r="O52" s="173" t="s">
        <v>138</v>
      </c>
      <c r="P52" s="186"/>
      <c r="Q52" s="175">
        <v>7.96</v>
      </c>
      <c r="R52" s="78"/>
      <c r="S52" s="59">
        <f t="shared" si="34"/>
        <v>0.19900000000000001</v>
      </c>
      <c r="T52" s="176"/>
      <c r="U52" s="176">
        <v>0</v>
      </c>
      <c r="V52" s="61">
        <f t="shared" si="67"/>
        <v>7.96</v>
      </c>
      <c r="W52" s="62">
        <f>IF(RL&gt;0,IF(RL&gt;'Look Ups'!R$7,'Look Ups'!R$8,('Look Ups'!R$3*RL^3+'Look Ups'!R$4*RL^2+'Look Ups'!R$5*RL+'Look Ups'!R$6)),0)</f>
        <v>0.29365758508799999</v>
      </c>
      <c r="X52" s="177">
        <v>990</v>
      </c>
      <c r="Y52" s="178"/>
      <c r="Z52" s="178"/>
      <c r="AA52" s="178"/>
      <c r="AB52" s="65">
        <f t="shared" si="38"/>
        <v>990</v>
      </c>
      <c r="AC52" s="66">
        <f t="shared" si="39"/>
        <v>990</v>
      </c>
      <c r="AD52" s="179" t="s">
        <v>129</v>
      </c>
      <c r="AE52" s="180" t="s">
        <v>130</v>
      </c>
      <c r="AF52" s="181" t="s">
        <v>131</v>
      </c>
      <c r="AG52" s="70">
        <f>IF(C52="",0,VLOOKUP(AD52,'Look Ups'!$B$3:$C$6,2,0)*VLOOKUP(AE52,'Look Ups'!$E$3:$F$5,2,0)*VLOOKUP(AF52,'Look Ups'!$H$3:$I$7,2,0))</f>
        <v>1</v>
      </c>
      <c r="AH52" s="80">
        <v>10.52</v>
      </c>
      <c r="AI52" s="77">
        <v>10.28</v>
      </c>
      <c r="AJ52" s="77">
        <v>3.38</v>
      </c>
      <c r="AK52" s="77">
        <v>1.1299999999999999</v>
      </c>
      <c r="AL52" s="77">
        <v>0.32</v>
      </c>
      <c r="AM52" s="77">
        <v>10.23</v>
      </c>
      <c r="AN52" s="77">
        <v>0.17</v>
      </c>
      <c r="AO52" s="77">
        <v>3.5</v>
      </c>
      <c r="AP52" s="77">
        <v>0.12</v>
      </c>
      <c r="AQ52" s="77">
        <v>0.5</v>
      </c>
      <c r="AR52" s="77" t="s">
        <v>132</v>
      </c>
      <c r="AS52" s="87"/>
      <c r="AT52" s="59">
        <f t="shared" si="40"/>
        <v>10.35</v>
      </c>
      <c r="AU52" s="59">
        <f t="shared" si="41"/>
        <v>1.9181250000000001</v>
      </c>
      <c r="AV52" s="72">
        <f>IF(C52="",0,(0.5*(_ML1*LPM)+0.5*(_ML1*HB)+0.66*(P*PR)+0.66*(_ML2*RDM)+0.66*(E*ER))*VLOOKUP(BATT,'Look Ups'!$N$3:$O$4,2,0))</f>
        <v>27.318742</v>
      </c>
      <c r="AW52" s="182"/>
      <c r="AX52" s="183"/>
      <c r="AY52" s="80">
        <v>9.67</v>
      </c>
      <c r="AZ52" s="77">
        <v>3.15</v>
      </c>
      <c r="BA52" s="77">
        <v>3.69</v>
      </c>
      <c r="BB52" s="77">
        <v>0.09</v>
      </c>
      <c r="BC52" s="77">
        <v>8.42</v>
      </c>
      <c r="BD52" s="77"/>
      <c r="BE52" s="77"/>
      <c r="BF52" s="77">
        <v>-0.09</v>
      </c>
      <c r="BG52" s="77">
        <v>0</v>
      </c>
      <c r="BH52" s="87"/>
      <c r="BI52" s="72">
        <f t="shared" si="42"/>
        <v>14.949288000000001</v>
      </c>
      <c r="BJ52" s="76"/>
      <c r="BK52" s="77"/>
      <c r="BL52" s="78"/>
      <c r="BM52" s="78"/>
      <c r="BN52" s="77"/>
      <c r="BO52" s="78"/>
      <c r="BP52" s="78"/>
      <c r="BQ52" s="79">
        <f t="shared" si="43"/>
        <v>0</v>
      </c>
      <c r="BR52" s="80"/>
      <c r="BS52" s="77"/>
      <c r="BT52" s="77"/>
      <c r="BU52" s="77"/>
      <c r="BV52" s="77"/>
      <c r="BW52" s="77"/>
      <c r="BX52" s="77"/>
      <c r="BY52" s="72">
        <f t="shared" si="44"/>
        <v>0</v>
      </c>
      <c r="BZ52" s="182">
        <v>7.82</v>
      </c>
      <c r="CA52" s="77">
        <v>12.57</v>
      </c>
      <c r="CB52" s="77">
        <v>11.1</v>
      </c>
      <c r="CC52" s="77">
        <v>6.84</v>
      </c>
      <c r="CD52" s="65">
        <f t="shared" si="45"/>
        <v>87.468030690537077</v>
      </c>
      <c r="CE52" s="77"/>
      <c r="CF52" s="79">
        <f t="shared" si="46"/>
        <v>69.39255</v>
      </c>
      <c r="CG52" s="80">
        <v>6.45</v>
      </c>
      <c r="CH52" s="77">
        <v>10.56</v>
      </c>
      <c r="CI52" s="77">
        <v>8.57</v>
      </c>
      <c r="CJ52" s="77">
        <v>3.28</v>
      </c>
      <c r="CK52" s="59">
        <f t="shared" si="47"/>
        <v>50.852713178294572</v>
      </c>
      <c r="CL52" s="77"/>
      <c r="CM52" s="72">
        <f t="shared" si="48"/>
        <v>31.197841666666669</v>
      </c>
      <c r="CN52" s="81">
        <f t="shared" si="49"/>
        <v>1</v>
      </c>
      <c r="CO52" s="59">
        <f t="shared" si="50"/>
        <v>29.236867000000004</v>
      </c>
      <c r="CP52" s="59">
        <f t="shared" si="51"/>
        <v>1</v>
      </c>
      <c r="CQ52" s="59">
        <f t="shared" si="52"/>
        <v>14.949288000000001</v>
      </c>
      <c r="CR52" s="59">
        <f>IF(AV52&gt;0,'Look Ups'!$L$3,0)</f>
        <v>1</v>
      </c>
      <c r="CS52" s="59">
        <f t="shared" si="53"/>
        <v>0</v>
      </c>
      <c r="CT52" s="59">
        <f t="shared" si="54"/>
        <v>0</v>
      </c>
      <c r="CU52" s="59">
        <f t="shared" si="55"/>
        <v>0</v>
      </c>
      <c r="CV52" s="79">
        <f t="shared" si="56"/>
        <v>0</v>
      </c>
      <c r="CW52" s="82" t="str">
        <f t="shared" si="57"/>
        <v>valid</v>
      </c>
      <c r="CX52" s="65" t="str">
        <f t="shared" si="58"/>
        <v>valid</v>
      </c>
      <c r="CY52" s="66" t="str">
        <f t="shared" si="59"/>
        <v>MGScrSp</v>
      </c>
      <c r="CZ52" s="81">
        <f t="shared" si="60"/>
        <v>44.186155000000007</v>
      </c>
      <c r="DA52" s="59">
        <f t="shared" si="61"/>
        <v>16.332978599999997</v>
      </c>
      <c r="DB52" s="59">
        <f t="shared" si="62"/>
        <v>5.6869937833333326</v>
      </c>
      <c r="DC52" s="59">
        <f t="shared" si="63"/>
        <v>16.06076229</v>
      </c>
      <c r="DD52" s="59">
        <f t="shared" si="64"/>
        <v>0.89367045166666659</v>
      </c>
      <c r="DE52" s="79">
        <f t="shared" si="65"/>
        <v>45.72921353200001</v>
      </c>
      <c r="DF52" s="83">
        <f t="shared" si="66"/>
        <v>61.140587741666671</v>
      </c>
      <c r="DG52" s="412"/>
    </row>
    <row r="53" spans="2:111" ht="16.5" customHeight="1" x14ac:dyDescent="0.25">
      <c r="B53" s="414"/>
      <c r="C53" s="414" t="s">
        <v>266</v>
      </c>
      <c r="D53" s="84" t="s">
        <v>210</v>
      </c>
      <c r="E53" s="49" t="s">
        <v>856</v>
      </c>
      <c r="F53" s="415">
        <f t="shared" si="35"/>
        <v>0.86529730047970643</v>
      </c>
      <c r="G53" s="415" t="str">
        <f t="shared" ca="1" si="36"/>
        <v>Yes</v>
      </c>
      <c r="H53" s="51" t="str">
        <f t="shared" si="37"/>
        <v>Main - Genoa - Screacher - Spinnaker</v>
      </c>
      <c r="I53" s="52">
        <v>42020</v>
      </c>
      <c r="J53" s="52">
        <v>44960</v>
      </c>
      <c r="K53" s="53" t="s">
        <v>1002</v>
      </c>
      <c r="L53" s="53" t="s">
        <v>299</v>
      </c>
      <c r="M53" s="54"/>
      <c r="N53" s="75" t="s">
        <v>127</v>
      </c>
      <c r="O53" s="75" t="s">
        <v>128</v>
      </c>
      <c r="P53" s="85"/>
      <c r="Q53" s="57">
        <v>9.4600000000000009</v>
      </c>
      <c r="R53" s="58"/>
      <c r="S53" s="59">
        <f t="shared" si="34"/>
        <v>0.23650000000000004</v>
      </c>
      <c r="T53" s="60">
        <v>0.05</v>
      </c>
      <c r="U53" s="60">
        <v>0</v>
      </c>
      <c r="V53" s="61">
        <f t="shared" si="67"/>
        <v>9.41</v>
      </c>
      <c r="W53" s="62">
        <f>IF(RL&gt;0,IF(RL&gt;'Look Ups'!R$7,'Look Ups'!R$8,('Look Ups'!R$3*RL^3+'Look Ups'!R$4*RL^2+'Look Ups'!R$5*RL+'Look Ups'!R$6)),0)</f>
        <v>0.29752450149300003</v>
      </c>
      <c r="X53" s="63">
        <v>1920</v>
      </c>
      <c r="Y53" s="64"/>
      <c r="Z53" s="64"/>
      <c r="AA53" s="64"/>
      <c r="AB53" s="65">
        <f t="shared" si="38"/>
        <v>1920</v>
      </c>
      <c r="AC53" s="66">
        <f t="shared" si="39"/>
        <v>1920</v>
      </c>
      <c r="AD53" s="67" t="s">
        <v>129</v>
      </c>
      <c r="AE53" s="68" t="s">
        <v>130</v>
      </c>
      <c r="AF53" s="69" t="s">
        <v>131</v>
      </c>
      <c r="AG53" s="70">
        <f>IF(C53="",0,VLOOKUP(AD53,'Look Ups'!$B$3:$C$6,2,0)*VLOOKUP(AE53,'Look Ups'!$E$3:$F$5,2,0)*VLOOKUP(AF53,'Look Ups'!$H$3:$I$7,2,0))</f>
        <v>1</v>
      </c>
      <c r="AH53" s="71">
        <v>11.56</v>
      </c>
      <c r="AI53" s="60">
        <v>11.2</v>
      </c>
      <c r="AJ53" s="60">
        <v>3.82</v>
      </c>
      <c r="AK53" s="60">
        <v>1.53</v>
      </c>
      <c r="AL53" s="60">
        <v>0.3</v>
      </c>
      <c r="AM53" s="60">
        <v>10.98</v>
      </c>
      <c r="AN53" s="60">
        <v>0.11</v>
      </c>
      <c r="AO53" s="60">
        <v>4.0199999999999996</v>
      </c>
      <c r="AP53" s="60">
        <v>0</v>
      </c>
      <c r="AQ53" s="60">
        <v>0</v>
      </c>
      <c r="AR53" s="60" t="s">
        <v>132</v>
      </c>
      <c r="AS53" s="75" t="s">
        <v>1004</v>
      </c>
      <c r="AT53" s="59">
        <f t="shared" si="40"/>
        <v>10.98</v>
      </c>
      <c r="AU53" s="59">
        <f t="shared" si="41"/>
        <v>0</v>
      </c>
      <c r="AV53" s="72">
        <f>IF(C53="",0,(0.5*(_ML1*LPM)+0.5*(_ML1*HB)+0.66*(P*PR)+0.66*(_ML2*RDM)+0.66*(E*ER))*VLOOKUP(BATT,'Look Ups'!$N$3:$O$4,2,0))</f>
        <v>33.937747999999999</v>
      </c>
      <c r="AW53" s="73"/>
      <c r="AX53" s="74"/>
      <c r="AY53" s="71">
        <v>11.08</v>
      </c>
      <c r="AZ53" s="60">
        <v>3.42</v>
      </c>
      <c r="BA53" s="60">
        <v>3.69</v>
      </c>
      <c r="BB53" s="60">
        <v>0.18</v>
      </c>
      <c r="BC53" s="60">
        <v>9.9600000000000009</v>
      </c>
      <c r="BD53" s="60"/>
      <c r="BE53" s="60"/>
      <c r="BF53" s="60">
        <v>0</v>
      </c>
      <c r="BG53" s="60">
        <v>0.12</v>
      </c>
      <c r="BH53" s="75" t="s">
        <v>1113</v>
      </c>
      <c r="BI53" s="72">
        <f t="shared" si="42"/>
        <v>20.262708</v>
      </c>
      <c r="BJ53" s="76"/>
      <c r="BK53" s="77"/>
      <c r="BL53" s="78"/>
      <c r="BM53" s="78"/>
      <c r="BN53" s="77"/>
      <c r="BO53" s="78"/>
      <c r="BP53" s="78"/>
      <c r="BQ53" s="79">
        <f t="shared" si="43"/>
        <v>0</v>
      </c>
      <c r="BR53" s="80"/>
      <c r="BS53" s="77"/>
      <c r="BT53" s="77"/>
      <c r="BU53" s="77"/>
      <c r="BV53" s="77"/>
      <c r="BW53" s="77"/>
      <c r="BX53" s="77"/>
      <c r="BY53" s="72">
        <f t="shared" si="44"/>
        <v>0</v>
      </c>
      <c r="BZ53" s="73">
        <v>9.31</v>
      </c>
      <c r="CA53" s="60">
        <v>13.23</v>
      </c>
      <c r="CB53" s="60">
        <v>11.48</v>
      </c>
      <c r="CC53" s="60">
        <v>7.75</v>
      </c>
      <c r="CD53" s="65">
        <f t="shared" si="45"/>
        <v>83.243823845327597</v>
      </c>
      <c r="CE53" s="60" t="s">
        <v>1114</v>
      </c>
      <c r="CF53" s="79">
        <f t="shared" si="46"/>
        <v>83.005008333333336</v>
      </c>
      <c r="CG53" s="71">
        <v>5.93</v>
      </c>
      <c r="CH53" s="60">
        <v>11.36</v>
      </c>
      <c r="CI53" s="60">
        <v>9.77</v>
      </c>
      <c r="CJ53" s="60">
        <v>2.97</v>
      </c>
      <c r="CK53" s="59">
        <f t="shared" si="47"/>
        <v>50.084317032040481</v>
      </c>
      <c r="CL53" s="75" t="s">
        <v>1016</v>
      </c>
      <c r="CM53" s="72">
        <f t="shared" si="48"/>
        <v>31.360441666666667</v>
      </c>
      <c r="CN53" s="81">
        <f t="shared" si="49"/>
        <v>1</v>
      </c>
      <c r="CO53" s="59">
        <f t="shared" si="50"/>
        <v>33.937747999999999</v>
      </c>
      <c r="CP53" s="59">
        <f t="shared" si="51"/>
        <v>1</v>
      </c>
      <c r="CQ53" s="59">
        <f t="shared" si="52"/>
        <v>20.262708</v>
      </c>
      <c r="CR53" s="59">
        <f>IF(AV53&gt;0,'Look Ups'!$L$3,0)</f>
        <v>1</v>
      </c>
      <c r="CS53" s="59">
        <f t="shared" si="53"/>
        <v>0</v>
      </c>
      <c r="CT53" s="59">
        <f t="shared" si="54"/>
        <v>0</v>
      </c>
      <c r="CU53" s="59">
        <f t="shared" si="55"/>
        <v>0</v>
      </c>
      <c r="CV53" s="79">
        <f t="shared" si="56"/>
        <v>0</v>
      </c>
      <c r="CW53" s="82" t="str">
        <f t="shared" si="57"/>
        <v>valid</v>
      </c>
      <c r="CX53" s="65" t="str">
        <f t="shared" si="58"/>
        <v>valid</v>
      </c>
      <c r="CY53" s="66" t="str">
        <f t="shared" si="59"/>
        <v>MGScrSp</v>
      </c>
      <c r="CZ53" s="81">
        <f t="shared" si="60"/>
        <v>54.200456000000003</v>
      </c>
      <c r="DA53" s="59">
        <f t="shared" si="61"/>
        <v>18.822690099999999</v>
      </c>
      <c r="DB53" s="59">
        <f t="shared" si="62"/>
        <v>3.8842067833333331</v>
      </c>
      <c r="DC53" s="59">
        <f t="shared" si="63"/>
        <v>18.508978598333332</v>
      </c>
      <c r="DD53" s="59">
        <f t="shared" si="64"/>
        <v>0.61037535166666668</v>
      </c>
      <c r="DE53" s="79">
        <f t="shared" si="65"/>
        <v>55.677360320000005</v>
      </c>
      <c r="DF53" s="83">
        <f t="shared" si="66"/>
        <v>73.319809949999993</v>
      </c>
      <c r="DG53" s="412"/>
    </row>
    <row r="54" spans="2:111" ht="16.25" customHeight="1" x14ac:dyDescent="0.25">
      <c r="B54" s="414"/>
      <c r="C54" s="414" t="s">
        <v>846</v>
      </c>
      <c r="D54" s="84" t="s">
        <v>847</v>
      </c>
      <c r="E54" s="49" t="s">
        <v>848</v>
      </c>
      <c r="F54" s="415">
        <f t="shared" si="35"/>
        <v>0.79812349819449391</v>
      </c>
      <c r="G54" s="415" t="str">
        <f t="shared" ca="1" si="36"/>
        <v>Yes</v>
      </c>
      <c r="H54" s="51" t="str">
        <f t="shared" si="37"/>
        <v>Main - Genoa - Screacher - Spinnaker</v>
      </c>
      <c r="I54" s="52">
        <v>42480</v>
      </c>
      <c r="J54" s="52">
        <v>42672</v>
      </c>
      <c r="K54" s="53" t="s">
        <v>849</v>
      </c>
      <c r="L54" s="53" t="s">
        <v>841</v>
      </c>
      <c r="M54" s="54"/>
      <c r="N54" s="75" t="s">
        <v>127</v>
      </c>
      <c r="O54" s="75" t="s">
        <v>128</v>
      </c>
      <c r="P54" s="85"/>
      <c r="Q54" s="57">
        <v>8.74</v>
      </c>
      <c r="R54" s="58"/>
      <c r="S54" s="59">
        <f t="shared" si="34"/>
        <v>0.21850000000000003</v>
      </c>
      <c r="T54" s="60">
        <v>0.23</v>
      </c>
      <c r="U54" s="60">
        <v>0</v>
      </c>
      <c r="V54" s="61">
        <f t="shared" si="67"/>
        <v>8.51</v>
      </c>
      <c r="W54" s="62">
        <f>IF(RL&gt;0,IF(RL&gt;'Look Ups'!R$7,'Look Ups'!R$8,('Look Ups'!R$3*RL^3+'Look Ups'!R$4*RL^2+'Look Ups'!R$5*RL+'Look Ups'!R$6)),0)</f>
        <v>0.29539459668300005</v>
      </c>
      <c r="X54" s="63">
        <v>1860</v>
      </c>
      <c r="Y54" s="64"/>
      <c r="Z54" s="64"/>
      <c r="AA54" s="64"/>
      <c r="AB54" s="65">
        <f t="shared" si="38"/>
        <v>1860</v>
      </c>
      <c r="AC54" s="66">
        <f t="shared" si="39"/>
        <v>1860</v>
      </c>
      <c r="AD54" s="67" t="s">
        <v>129</v>
      </c>
      <c r="AE54" s="68" t="s">
        <v>130</v>
      </c>
      <c r="AF54" s="69" t="s">
        <v>131</v>
      </c>
      <c r="AG54" s="70">
        <f>IF(C54="",0,VLOOKUP(AD54,'Look Ups'!$B$3:$C$6,2,0)*VLOOKUP(AE54,'Look Ups'!$E$3:$F$5,2,0)*VLOOKUP(AF54,'Look Ups'!$H$3:$I$7,2,0))</f>
        <v>1</v>
      </c>
      <c r="AH54" s="71">
        <v>11.2</v>
      </c>
      <c r="AI54" s="60">
        <v>10.89</v>
      </c>
      <c r="AJ54" s="60">
        <v>3.38</v>
      </c>
      <c r="AK54" s="60">
        <v>1.49</v>
      </c>
      <c r="AL54" s="60">
        <v>0.22</v>
      </c>
      <c r="AM54" s="60">
        <v>10.83</v>
      </c>
      <c r="AN54" s="60">
        <v>0.12</v>
      </c>
      <c r="AO54" s="60">
        <v>3.5</v>
      </c>
      <c r="AP54" s="60"/>
      <c r="AQ54" s="60">
        <v>0.49</v>
      </c>
      <c r="AR54" s="60" t="s">
        <v>132</v>
      </c>
      <c r="AS54" s="75">
        <v>28</v>
      </c>
      <c r="AT54" s="59">
        <f t="shared" si="40"/>
        <v>10.83</v>
      </c>
      <c r="AU54" s="59">
        <f t="shared" si="41"/>
        <v>1.9900125000000002</v>
      </c>
      <c r="AV54" s="72">
        <f>IF(C54="",0,(0.5*(_ML1*LPM)+0.5*(_ML1*HB)+0.66*(P*PR)+0.66*(_ML2*RDM)+0.66*(E*ER))*VLOOKUP(BATT,'Look Ups'!$N$3:$O$4,2,0))</f>
        <v>29.710963999999997</v>
      </c>
      <c r="AW54" s="73"/>
      <c r="AX54" s="74"/>
      <c r="AY54" s="71">
        <v>8.91</v>
      </c>
      <c r="AZ54" s="60">
        <v>3.32</v>
      </c>
      <c r="BA54" s="60">
        <v>3.59</v>
      </c>
      <c r="BB54" s="60">
        <v>0.18</v>
      </c>
      <c r="BC54" s="60">
        <v>8.11</v>
      </c>
      <c r="BD54" s="60"/>
      <c r="BE54" s="60"/>
      <c r="BF54" s="60">
        <v>-0.05</v>
      </c>
      <c r="BG54" s="60">
        <v>7.0000000000000007E-2</v>
      </c>
      <c r="BH54" s="75"/>
      <c r="BI54" s="72">
        <f t="shared" si="42"/>
        <v>15.361103999999999</v>
      </c>
      <c r="BJ54" s="76"/>
      <c r="BK54" s="77"/>
      <c r="BL54" s="78"/>
      <c r="BM54" s="78"/>
      <c r="BN54" s="77"/>
      <c r="BO54" s="78"/>
      <c r="BP54" s="78"/>
      <c r="BQ54" s="79">
        <f t="shared" si="43"/>
        <v>0</v>
      </c>
      <c r="BR54" s="80"/>
      <c r="BS54" s="77"/>
      <c r="BT54" s="77"/>
      <c r="BU54" s="77"/>
      <c r="BV54" s="77"/>
      <c r="BW54" s="77"/>
      <c r="BX54" s="77"/>
      <c r="BY54" s="72">
        <f t="shared" si="44"/>
        <v>0</v>
      </c>
      <c r="BZ54" s="73">
        <v>8.27</v>
      </c>
      <c r="CA54" s="60">
        <v>12.34</v>
      </c>
      <c r="CB54" s="60">
        <v>11.34</v>
      </c>
      <c r="CC54" s="60">
        <v>6.53</v>
      </c>
      <c r="CD54" s="65">
        <f t="shared" si="45"/>
        <v>78.960096735187435</v>
      </c>
      <c r="CE54" s="60"/>
      <c r="CF54" s="79">
        <f t="shared" si="46"/>
        <v>67.862933333333331</v>
      </c>
      <c r="CG54" s="71">
        <v>7.01</v>
      </c>
      <c r="CH54" s="60">
        <v>10.4</v>
      </c>
      <c r="CI54" s="60">
        <v>8.7100000000000009</v>
      </c>
      <c r="CJ54" s="60">
        <v>3.76</v>
      </c>
      <c r="CK54" s="59">
        <f t="shared" si="47"/>
        <v>53.637660485021399</v>
      </c>
      <c r="CL54" s="75"/>
      <c r="CM54" s="72">
        <f t="shared" si="48"/>
        <v>35.114624999999997</v>
      </c>
      <c r="CN54" s="81">
        <f t="shared" si="49"/>
        <v>1</v>
      </c>
      <c r="CO54" s="59">
        <f t="shared" si="50"/>
        <v>31.700976499999996</v>
      </c>
      <c r="CP54" s="59">
        <f t="shared" si="51"/>
        <v>1</v>
      </c>
      <c r="CQ54" s="59">
        <f t="shared" si="52"/>
        <v>15.361103999999999</v>
      </c>
      <c r="CR54" s="59">
        <f>IF(AV54&gt;0,'Look Ups'!$L$3,0)</f>
        <v>1</v>
      </c>
      <c r="CS54" s="59">
        <f t="shared" si="53"/>
        <v>0</v>
      </c>
      <c r="CT54" s="59">
        <f t="shared" si="54"/>
        <v>0</v>
      </c>
      <c r="CU54" s="59">
        <f t="shared" si="55"/>
        <v>0</v>
      </c>
      <c r="CV54" s="79">
        <f t="shared" si="56"/>
        <v>0</v>
      </c>
      <c r="CW54" s="82" t="str">
        <f t="shared" si="57"/>
        <v>valid</v>
      </c>
      <c r="CX54" s="65" t="str">
        <f t="shared" si="58"/>
        <v>valid</v>
      </c>
      <c r="CY54" s="66" t="str">
        <f t="shared" si="59"/>
        <v>MGScrSp</v>
      </c>
      <c r="CZ54" s="81">
        <f t="shared" si="60"/>
        <v>47.062080499999993</v>
      </c>
      <c r="DA54" s="59">
        <f t="shared" si="61"/>
        <v>15.750548799999999</v>
      </c>
      <c r="DB54" s="59">
        <f t="shared" si="62"/>
        <v>6.9137323499999992</v>
      </c>
      <c r="DC54" s="59">
        <f t="shared" si="63"/>
        <v>15.488039653333333</v>
      </c>
      <c r="DD54" s="59">
        <f t="shared" si="64"/>
        <v>1.0864436550000001</v>
      </c>
      <c r="DE54" s="79">
        <f t="shared" si="65"/>
        <v>48.826786729999995</v>
      </c>
      <c r="DF54" s="83">
        <f t="shared" si="66"/>
        <v>63.636563808333321</v>
      </c>
      <c r="DG54" s="412"/>
    </row>
    <row r="55" spans="2:111" ht="16.5" customHeight="1" x14ac:dyDescent="0.25">
      <c r="B55" s="414"/>
      <c r="C55" s="414" t="s">
        <v>276</v>
      </c>
      <c r="D55" s="48" t="s">
        <v>277</v>
      </c>
      <c r="E55" s="49" t="s">
        <v>1041</v>
      </c>
      <c r="F55" s="415">
        <f t="shared" si="35"/>
        <v>0.85421161650050104</v>
      </c>
      <c r="G55" s="415" t="str">
        <f t="shared" ca="1" si="36"/>
        <v>Yes</v>
      </c>
      <c r="H55" s="51" t="str">
        <f t="shared" si="37"/>
        <v>Main - Genoa - Screacher - Spinnaker</v>
      </c>
      <c r="I55" s="52">
        <v>43007</v>
      </c>
      <c r="J55" s="52">
        <v>42837</v>
      </c>
      <c r="K55" s="53" t="s">
        <v>147</v>
      </c>
      <c r="L55" s="53" t="s">
        <v>841</v>
      </c>
      <c r="M55" s="54"/>
      <c r="N55" s="75" t="s">
        <v>127</v>
      </c>
      <c r="O55" s="75"/>
      <c r="P55" s="85"/>
      <c r="Q55" s="57">
        <v>10.97</v>
      </c>
      <c r="R55" s="58"/>
      <c r="S55" s="59">
        <f t="shared" si="34"/>
        <v>0.27425000000000005</v>
      </c>
      <c r="T55" s="60">
        <v>0.35</v>
      </c>
      <c r="U55" s="60">
        <v>0</v>
      </c>
      <c r="V55" s="61">
        <f t="shared" si="67"/>
        <v>10.620000000000001</v>
      </c>
      <c r="W55" s="62">
        <f>IF(RL&gt;0,IF(RL&gt;'Look Ups'!R$7,'Look Ups'!R$8,('Look Ups'!R$3*RL^3+'Look Ups'!R$4*RL^2+'Look Ups'!R$5*RL+'Look Ups'!R$6)),0)</f>
        <v>0.29921826082400005</v>
      </c>
      <c r="X55" s="63">
        <f>2845-27</f>
        <v>2818</v>
      </c>
      <c r="Y55" s="64"/>
      <c r="Z55" s="417"/>
      <c r="AA55" s="417"/>
      <c r="AB55" s="65">
        <f t="shared" si="38"/>
        <v>2818</v>
      </c>
      <c r="AC55" s="66">
        <f t="shared" si="39"/>
        <v>2818</v>
      </c>
      <c r="AD55" s="67" t="s">
        <v>129</v>
      </c>
      <c r="AE55" s="68" t="s">
        <v>130</v>
      </c>
      <c r="AF55" s="69" t="s">
        <v>131</v>
      </c>
      <c r="AG55" s="70">
        <f>IF(C55="",0,VLOOKUP(AD55,'Look Ups'!$B$3:$C$6,2,0)*VLOOKUP(AE55,'Look Ups'!$E$3:$F$5,2,0)*VLOOKUP(AF55,'Look Ups'!$H$3:$I$7,2,0))</f>
        <v>1</v>
      </c>
      <c r="AH55" s="71">
        <v>13.43</v>
      </c>
      <c r="AI55" s="60">
        <v>13.2</v>
      </c>
      <c r="AJ55" s="60">
        <v>3.84</v>
      </c>
      <c r="AK55" s="60">
        <v>1.2949999999999999</v>
      </c>
      <c r="AL55" s="60">
        <v>0.4</v>
      </c>
      <c r="AM55" s="60">
        <v>12.73</v>
      </c>
      <c r="AN55" s="60">
        <v>0.14000000000000001</v>
      </c>
      <c r="AO55" s="60">
        <v>4.05</v>
      </c>
      <c r="AP55" s="60">
        <v>0</v>
      </c>
      <c r="AQ55" s="60">
        <v>0</v>
      </c>
      <c r="AR55" s="60" t="s">
        <v>132</v>
      </c>
      <c r="AS55" s="75" t="s">
        <v>278</v>
      </c>
      <c r="AT55" s="59">
        <f t="shared" si="40"/>
        <v>12.73</v>
      </c>
      <c r="AU55" s="59">
        <f t="shared" si="41"/>
        <v>0</v>
      </c>
      <c r="AV55" s="72">
        <f>IF(C55="",0,(0.5*(_ML1*LPM)+0.5*(_ML1*HB)+0.66*(P*PR)+0.66*(_ML2*RDM)+0.66*(E*ER))*VLOOKUP(BATT,'Look Ups'!$N$3:$O$4,2,0))</f>
        <v>39.142576999999996</v>
      </c>
      <c r="AW55" s="73"/>
      <c r="AX55" s="74"/>
      <c r="AY55" s="71">
        <v>11</v>
      </c>
      <c r="AZ55" s="60">
        <v>3.95</v>
      </c>
      <c r="BA55" s="60">
        <v>4.5</v>
      </c>
      <c r="BB55" s="60">
        <v>0.105</v>
      </c>
      <c r="BC55" s="60">
        <v>9.65</v>
      </c>
      <c r="BD55" s="60">
        <v>9.65</v>
      </c>
      <c r="BE55" s="60"/>
      <c r="BF55" s="60">
        <v>-0.05</v>
      </c>
      <c r="BG55" s="60">
        <v>0.08</v>
      </c>
      <c r="BH55" s="75" t="s">
        <v>278</v>
      </c>
      <c r="BI55" s="72">
        <f t="shared" si="42"/>
        <v>22.299200000000003</v>
      </c>
      <c r="BJ55" s="76"/>
      <c r="BK55" s="77"/>
      <c r="BL55" s="78"/>
      <c r="BM55" s="78"/>
      <c r="BN55" s="77"/>
      <c r="BO55" s="78"/>
      <c r="BP55" s="78"/>
      <c r="BQ55" s="79">
        <f t="shared" si="43"/>
        <v>0</v>
      </c>
      <c r="BR55" s="80"/>
      <c r="BS55" s="77"/>
      <c r="BT55" s="77"/>
      <c r="BU55" s="77"/>
      <c r="BV55" s="77"/>
      <c r="BW55" s="77"/>
      <c r="BX55" s="77"/>
      <c r="BY55" s="72">
        <f t="shared" si="44"/>
        <v>0</v>
      </c>
      <c r="BZ55" s="71">
        <v>8.5250000000000004</v>
      </c>
      <c r="CA55" s="60">
        <v>16.8</v>
      </c>
      <c r="CB55" s="60">
        <v>13.8</v>
      </c>
      <c r="CC55" s="60">
        <v>8.25</v>
      </c>
      <c r="CD55" s="65">
        <f t="shared" si="45"/>
        <v>96.774193548387089</v>
      </c>
      <c r="CE55" s="60"/>
      <c r="CF55" s="79">
        <f t="shared" si="46"/>
        <v>105.88875</v>
      </c>
      <c r="CG55" s="71">
        <v>8.1999999999999993</v>
      </c>
      <c r="CH55" s="60">
        <v>13</v>
      </c>
      <c r="CI55" s="60">
        <v>9.9499999999999993</v>
      </c>
      <c r="CJ55" s="60">
        <v>4.76</v>
      </c>
      <c r="CK55" s="59">
        <f t="shared" si="47"/>
        <v>58.048780487804883</v>
      </c>
      <c r="CL55" s="75"/>
      <c r="CM55" s="72">
        <f t="shared" si="48"/>
        <v>52.096499999999992</v>
      </c>
      <c r="CN55" s="81">
        <f t="shared" si="49"/>
        <v>1</v>
      </c>
      <c r="CO55" s="59">
        <f t="shared" si="50"/>
        <v>39.142576999999996</v>
      </c>
      <c r="CP55" s="59">
        <f t="shared" si="51"/>
        <v>1</v>
      </c>
      <c r="CQ55" s="59">
        <f t="shared" si="52"/>
        <v>22.299200000000003</v>
      </c>
      <c r="CR55" s="59">
        <f>IF(AV55&gt;0,'Look Ups'!$L$3,0)</f>
        <v>1</v>
      </c>
      <c r="CS55" s="59">
        <f t="shared" si="53"/>
        <v>0</v>
      </c>
      <c r="CT55" s="59">
        <f t="shared" si="54"/>
        <v>0</v>
      </c>
      <c r="CU55" s="59">
        <f t="shared" si="55"/>
        <v>0</v>
      </c>
      <c r="CV55" s="79">
        <f t="shared" si="56"/>
        <v>0</v>
      </c>
      <c r="CW55" s="82" t="str">
        <f t="shared" si="57"/>
        <v>valid</v>
      </c>
      <c r="CX55" s="65" t="str">
        <f t="shared" si="58"/>
        <v>valid</v>
      </c>
      <c r="CY55" s="66" t="str">
        <f t="shared" si="59"/>
        <v>MGScrSp</v>
      </c>
      <c r="CZ55" s="81">
        <f t="shared" si="60"/>
        <v>61.441777000000002</v>
      </c>
      <c r="DA55" s="59">
        <f t="shared" si="61"/>
        <v>25.076865000000002</v>
      </c>
      <c r="DB55" s="59">
        <f t="shared" si="62"/>
        <v>10.429054999999996</v>
      </c>
      <c r="DC55" s="59">
        <f t="shared" si="63"/>
        <v>24.658917249999998</v>
      </c>
      <c r="DD55" s="59">
        <f t="shared" si="64"/>
        <v>1.6388514999999995</v>
      </c>
      <c r="DE55" s="79">
        <f t="shared" si="65"/>
        <v>63.260861716000001</v>
      </c>
      <c r="DF55" s="83">
        <f t="shared" si="66"/>
        <v>87.739545750000005</v>
      </c>
      <c r="DG55" s="412"/>
    </row>
    <row r="56" spans="2:111" ht="16.5" customHeight="1" x14ac:dyDescent="0.25">
      <c r="B56" s="416"/>
      <c r="C56" s="414" t="s">
        <v>963</v>
      </c>
      <c r="D56" s="48" t="s">
        <v>521</v>
      </c>
      <c r="E56" s="49" t="s">
        <v>964</v>
      </c>
      <c r="F56" s="415">
        <f t="shared" si="35"/>
        <v>1.1040541414469041</v>
      </c>
      <c r="G56" s="415" t="str">
        <f t="shared" ca="1" si="36"/>
        <v>Yes</v>
      </c>
      <c r="H56" s="51" t="str">
        <f t="shared" si="37"/>
        <v>Main - Genoa - Screacher</v>
      </c>
      <c r="I56" s="52">
        <v>44782</v>
      </c>
      <c r="J56" s="52">
        <v>44783</v>
      </c>
      <c r="K56" s="53" t="s">
        <v>1097</v>
      </c>
      <c r="L56" s="53" t="s">
        <v>614</v>
      </c>
      <c r="M56" s="54"/>
      <c r="N56" s="55" t="s">
        <v>149</v>
      </c>
      <c r="O56" s="55"/>
      <c r="P56" s="56"/>
      <c r="Q56" s="57">
        <v>11.9</v>
      </c>
      <c r="R56" s="58"/>
      <c r="S56" s="59">
        <f t="shared" si="34"/>
        <v>0.29750000000000004</v>
      </c>
      <c r="T56" s="60"/>
      <c r="U56" s="60"/>
      <c r="V56" s="61">
        <f t="shared" si="67"/>
        <v>11.9</v>
      </c>
      <c r="W56" s="62">
        <f>IF(RL&gt;0,IF(RL&gt;'Look Ups'!R$7,'Look Ups'!R$8,('Look Ups'!R$3*RL^3+'Look Ups'!R$4*RL^2+'Look Ups'!R$5*RL+'Look Ups'!R$6)),0)</f>
        <v>0.29990624700000001</v>
      </c>
      <c r="X56" s="63">
        <v>1535</v>
      </c>
      <c r="Y56" s="64"/>
      <c r="Z56" s="64">
        <v>624</v>
      </c>
      <c r="AA56" s="64">
        <v>7</v>
      </c>
      <c r="AB56" s="65">
        <f t="shared" si="38"/>
        <v>1535</v>
      </c>
      <c r="AC56" s="66">
        <f t="shared" si="39"/>
        <v>2187</v>
      </c>
      <c r="AD56" s="67" t="s">
        <v>129</v>
      </c>
      <c r="AE56" s="68" t="s">
        <v>130</v>
      </c>
      <c r="AF56" s="69" t="s">
        <v>131</v>
      </c>
      <c r="AG56" s="70">
        <f>IF(C56="",0,VLOOKUP(AD56,'Look Ups'!$B$3:$C$6,2,0)*VLOOKUP(AE56,'Look Ups'!$E$3:$F$5,2,0)*VLOOKUP(AF56,'Look Ups'!$H$3:$I$7,2,0))</f>
        <v>1</v>
      </c>
      <c r="AH56" s="71">
        <v>17.690000000000001</v>
      </c>
      <c r="AI56" s="60">
        <v>17.32</v>
      </c>
      <c r="AJ56" s="60">
        <v>5</v>
      </c>
      <c r="AK56" s="60">
        <v>1.93</v>
      </c>
      <c r="AL56" s="60">
        <v>0.36</v>
      </c>
      <c r="AM56" s="60">
        <v>17.57</v>
      </c>
      <c r="AN56" s="60">
        <v>0.13</v>
      </c>
      <c r="AO56" s="60">
        <v>5.0199999999999996</v>
      </c>
      <c r="AP56" s="60"/>
      <c r="AQ56" s="60">
        <v>0.77</v>
      </c>
      <c r="AR56" s="60" t="s">
        <v>132</v>
      </c>
      <c r="AS56" s="75">
        <v>0</v>
      </c>
      <c r="AT56" s="59">
        <f t="shared" si="40"/>
        <v>17.57</v>
      </c>
      <c r="AU56" s="59">
        <f t="shared" si="41"/>
        <v>5.0733375000000001</v>
      </c>
      <c r="AV56" s="72">
        <f>IF(C56="",0,(0.5*(_ML1*LPM)+0.5*(_ML1*HB)+0.66*(P*PR)+0.66*(_ML2*RDM)+0.66*(E*ER))*VLOOKUP(BATT,'Look Ups'!$N$3:$O$4,2,0))</f>
        <v>66.918588</v>
      </c>
      <c r="AW56" s="73"/>
      <c r="AX56" s="74"/>
      <c r="AY56" s="71">
        <v>12.97</v>
      </c>
      <c r="AZ56" s="60">
        <v>3.31</v>
      </c>
      <c r="BA56" s="60">
        <v>3.47</v>
      </c>
      <c r="BB56" s="60">
        <v>0.09</v>
      </c>
      <c r="BC56" s="60">
        <v>12.5</v>
      </c>
      <c r="BD56" s="60">
        <v>12.46</v>
      </c>
      <c r="BE56" s="60">
        <v>0.2</v>
      </c>
      <c r="BF56" s="60">
        <v>7.0000000000000007E-2</v>
      </c>
      <c r="BG56" s="60">
        <v>0.04</v>
      </c>
      <c r="BH56" s="75">
        <v>0</v>
      </c>
      <c r="BI56" s="72">
        <f t="shared" si="42"/>
        <v>23.839528000000001</v>
      </c>
      <c r="BJ56" s="76"/>
      <c r="BK56" s="77"/>
      <c r="BL56" s="78"/>
      <c r="BM56" s="78"/>
      <c r="BN56" s="77"/>
      <c r="BO56" s="78"/>
      <c r="BP56" s="78"/>
      <c r="BQ56" s="79">
        <f t="shared" si="43"/>
        <v>0</v>
      </c>
      <c r="BR56" s="80"/>
      <c r="BS56" s="77"/>
      <c r="BT56" s="77"/>
      <c r="BU56" s="77"/>
      <c r="BV56" s="77"/>
      <c r="BW56" s="77"/>
      <c r="BX56" s="77"/>
      <c r="BY56" s="72">
        <f t="shared" si="44"/>
        <v>0</v>
      </c>
      <c r="BZ56" s="73"/>
      <c r="CA56" s="60"/>
      <c r="CB56" s="60"/>
      <c r="CC56" s="60"/>
      <c r="CD56" s="65" t="str">
        <f t="shared" si="45"/>
        <v/>
      </c>
      <c r="CE56" s="60"/>
      <c r="CF56" s="79">
        <f t="shared" si="46"/>
        <v>0</v>
      </c>
      <c r="CG56" s="71">
        <v>9.99</v>
      </c>
      <c r="CH56" s="60">
        <v>19.07</v>
      </c>
      <c r="CI56" s="60">
        <v>15.77</v>
      </c>
      <c r="CJ56" s="60">
        <v>6.49</v>
      </c>
      <c r="CK56" s="59">
        <f t="shared" si="47"/>
        <v>64.964964964964963</v>
      </c>
      <c r="CL56" s="60">
        <v>0</v>
      </c>
      <c r="CM56" s="72">
        <f t="shared" si="48"/>
        <v>104.37483333333336</v>
      </c>
      <c r="CN56" s="81">
        <f t="shared" si="49"/>
        <v>1</v>
      </c>
      <c r="CO56" s="59">
        <f t="shared" si="50"/>
        <v>71.991925499999994</v>
      </c>
      <c r="CP56" s="59">
        <f t="shared" si="51"/>
        <v>1</v>
      </c>
      <c r="CQ56" s="59">
        <f t="shared" si="52"/>
        <v>23.839528000000001</v>
      </c>
      <c r="CR56" s="59">
        <f>IF(AV56&gt;0,'Look Ups'!$L$3,0)</f>
        <v>1</v>
      </c>
      <c r="CS56" s="59">
        <f t="shared" si="53"/>
        <v>0</v>
      </c>
      <c r="CT56" s="59">
        <f t="shared" si="54"/>
        <v>0</v>
      </c>
      <c r="CU56" s="59">
        <f t="shared" si="55"/>
        <v>0</v>
      </c>
      <c r="CV56" s="79">
        <f t="shared" si="56"/>
        <v>0</v>
      </c>
      <c r="CW56" s="82" t="str">
        <f t="shared" si="57"/>
        <v>valid</v>
      </c>
      <c r="CX56" s="65" t="str">
        <f t="shared" si="58"/>
        <v>-</v>
      </c>
      <c r="CY56" s="66" t="str">
        <f t="shared" si="59"/>
        <v>MGScr</v>
      </c>
      <c r="CZ56" s="81">
        <f t="shared" si="60"/>
        <v>95.831453499999995</v>
      </c>
      <c r="DA56" s="59">
        <f t="shared" si="61"/>
        <v>0</v>
      </c>
      <c r="DB56" s="59">
        <f t="shared" si="62"/>
        <v>28.187356866666672</v>
      </c>
      <c r="DC56" s="59">
        <f t="shared" si="63"/>
        <v>0</v>
      </c>
      <c r="DD56" s="59">
        <f t="shared" si="64"/>
        <v>4.4294417933333348</v>
      </c>
      <c r="DE56" s="79">
        <f t="shared" si="65"/>
        <v>101.03191242999999</v>
      </c>
      <c r="DF56" s="83">
        <f t="shared" si="66"/>
        <v>124.01881036666667</v>
      </c>
      <c r="DG56" s="412"/>
    </row>
    <row r="57" spans="2:111" ht="19.5" customHeight="1" x14ac:dyDescent="0.25">
      <c r="B57" s="414"/>
      <c r="C57" s="414" t="s">
        <v>1022</v>
      </c>
      <c r="D57" s="48" t="s">
        <v>1024</v>
      </c>
      <c r="E57" s="49" t="s">
        <v>1023</v>
      </c>
      <c r="F57" s="415">
        <f t="shared" si="35"/>
        <v>0.6558172065699911</v>
      </c>
      <c r="G57" s="415" t="str">
        <f t="shared" ca="1" si="36"/>
        <v>Yes</v>
      </c>
      <c r="H57" s="51" t="str">
        <f t="shared" si="37"/>
        <v>Main - Genoa - Screacher - Spinnaker</v>
      </c>
      <c r="I57" s="52">
        <v>44009</v>
      </c>
      <c r="J57" s="52">
        <v>44009</v>
      </c>
      <c r="K57" s="53" t="s">
        <v>506</v>
      </c>
      <c r="L57" s="53" t="s">
        <v>614</v>
      </c>
      <c r="M57" s="54"/>
      <c r="N57" s="75" t="s">
        <v>149</v>
      </c>
      <c r="O57" s="75" t="s">
        <v>1030</v>
      </c>
      <c r="P57" s="85">
        <v>6.4</v>
      </c>
      <c r="Q57" s="57">
        <v>11.8</v>
      </c>
      <c r="R57" s="58"/>
      <c r="S57" s="59">
        <f t="shared" si="34"/>
        <v>0.29500000000000004</v>
      </c>
      <c r="T57" s="60">
        <v>0</v>
      </c>
      <c r="U57" s="60"/>
      <c r="V57" s="61">
        <f t="shared" si="67"/>
        <v>11.8</v>
      </c>
      <c r="W57" s="62">
        <f>IF(RL&gt;0,IF(RL&gt;'Look Ups'!R$7,'Look Ups'!R$8,('Look Ups'!R$3*RL^3+'Look Ups'!R$4*RL^2+'Look Ups'!R$5*RL+'Look Ups'!R$6)),0)</f>
        <v>0.29988405600000001</v>
      </c>
      <c r="X57" s="63">
        <v>9830</v>
      </c>
      <c r="Y57" s="64"/>
      <c r="Z57" s="417"/>
      <c r="AA57" s="417"/>
      <c r="AB57" s="65">
        <f t="shared" si="38"/>
        <v>9830</v>
      </c>
      <c r="AC57" s="66">
        <f t="shared" si="39"/>
        <v>9830</v>
      </c>
      <c r="AD57" s="67" t="s">
        <v>129</v>
      </c>
      <c r="AE57" s="68" t="s">
        <v>130</v>
      </c>
      <c r="AF57" s="69" t="s">
        <v>131</v>
      </c>
      <c r="AG57" s="70">
        <f>IF(C57="",0,VLOOKUP(AD57,'Look Ups'!$B$3:$C$6,2,0)*VLOOKUP(AE57,'Look Ups'!$E$3:$F$5,2,0)*VLOOKUP(AF57,'Look Ups'!$H$3:$I$7,2,0))</f>
        <v>1</v>
      </c>
      <c r="AH57" s="71">
        <v>15.24</v>
      </c>
      <c r="AI57" s="60">
        <v>14.7</v>
      </c>
      <c r="AJ57" s="60">
        <v>5.33</v>
      </c>
      <c r="AK57" s="60">
        <v>1.6</v>
      </c>
      <c r="AL57" s="60">
        <v>0.39</v>
      </c>
      <c r="AM57" s="60">
        <v>14.8</v>
      </c>
      <c r="AN57" s="60">
        <v>0.18</v>
      </c>
      <c r="AO57" s="60">
        <v>5.51</v>
      </c>
      <c r="AP57" s="60">
        <v>0.1</v>
      </c>
      <c r="AQ57" s="60"/>
      <c r="AR57" s="60" t="s">
        <v>132</v>
      </c>
      <c r="AS57" s="75"/>
      <c r="AT57" s="59">
        <f t="shared" si="40"/>
        <v>14.9</v>
      </c>
      <c r="AU57" s="59">
        <f t="shared" si="41"/>
        <v>0</v>
      </c>
      <c r="AV57" s="72">
        <f>IF(C57="",0,(0.5*(_ML1*LPM)+0.5*(_ML1*HB)+0.66*(P*PR)+0.66*(_ML2*RDM)+0.66*(E*ER))*VLOOKUP(BATT,'Look Ups'!$N$3:$O$4,2,0))</f>
        <v>58.712280000000007</v>
      </c>
      <c r="AW57" s="73"/>
      <c r="AX57" s="74"/>
      <c r="AY57" s="71">
        <v>13.6</v>
      </c>
      <c r="AZ57" s="60">
        <v>5.72</v>
      </c>
      <c r="BA57" s="60">
        <v>6.16</v>
      </c>
      <c r="BB57" s="60">
        <v>0.13</v>
      </c>
      <c r="BC57" s="60">
        <v>12.54</v>
      </c>
      <c r="BD57" s="60"/>
      <c r="BE57" s="60"/>
      <c r="BF57" s="60">
        <v>-0.28000000000000003</v>
      </c>
      <c r="BG57" s="60">
        <v>7.0000000000000007E-2</v>
      </c>
      <c r="BH57" s="75"/>
      <c r="BI57" s="72">
        <f t="shared" si="42"/>
        <v>37.735456000000006</v>
      </c>
      <c r="BJ57" s="76"/>
      <c r="BK57" s="77"/>
      <c r="BL57" s="78"/>
      <c r="BM57" s="78"/>
      <c r="BN57" s="77"/>
      <c r="BO57" s="78"/>
      <c r="BP57" s="78"/>
      <c r="BQ57" s="79">
        <f t="shared" si="43"/>
        <v>0</v>
      </c>
      <c r="BR57" s="80"/>
      <c r="BS57" s="77"/>
      <c r="BT57" s="77"/>
      <c r="BU57" s="77"/>
      <c r="BV57" s="77"/>
      <c r="BW57" s="77"/>
      <c r="BX57" s="77"/>
      <c r="BY57" s="72">
        <f t="shared" si="44"/>
        <v>0</v>
      </c>
      <c r="BZ57" s="73">
        <v>9.26</v>
      </c>
      <c r="CA57" s="60">
        <v>15.76</v>
      </c>
      <c r="CB57" s="60">
        <v>13.73</v>
      </c>
      <c r="CC57" s="60">
        <v>7.58</v>
      </c>
      <c r="CD57" s="65">
        <f t="shared" si="45"/>
        <v>81.857451403887694</v>
      </c>
      <c r="CE57" s="60"/>
      <c r="CF57" s="79">
        <f t="shared" si="46"/>
        <v>97.26785000000001</v>
      </c>
      <c r="CG57" s="71">
        <v>8.0500000000000007</v>
      </c>
      <c r="CH57" s="60">
        <v>14.99</v>
      </c>
      <c r="CI57" s="60">
        <v>13.13</v>
      </c>
      <c r="CJ57" s="60">
        <v>4.1399999999999997</v>
      </c>
      <c r="CK57" s="59">
        <f t="shared" si="47"/>
        <v>51.428571428571423</v>
      </c>
      <c r="CL57" s="75"/>
      <c r="CM57" s="72">
        <f t="shared" si="48"/>
        <v>57.66943333333333</v>
      </c>
      <c r="CN57" s="81">
        <f t="shared" si="49"/>
        <v>1</v>
      </c>
      <c r="CO57" s="59">
        <f t="shared" si="50"/>
        <v>58.712280000000007</v>
      </c>
      <c r="CP57" s="59">
        <f t="shared" si="51"/>
        <v>1</v>
      </c>
      <c r="CQ57" s="59">
        <f t="shared" si="52"/>
        <v>37.735456000000006</v>
      </c>
      <c r="CR57" s="59">
        <f>IF(AV57&gt;0,'Look Ups'!$L$3,0)</f>
        <v>1</v>
      </c>
      <c r="CS57" s="59"/>
      <c r="CT57" s="59"/>
      <c r="CU57" s="59"/>
      <c r="CV57" s="79"/>
      <c r="CW57" s="82" t="str">
        <f t="shared" si="57"/>
        <v>valid</v>
      </c>
      <c r="CX57" s="65" t="str">
        <f t="shared" si="58"/>
        <v>valid</v>
      </c>
      <c r="CY57" s="66" t="str">
        <f t="shared" si="59"/>
        <v>MGScrSp</v>
      </c>
      <c r="CZ57" s="81">
        <f t="shared" si="60"/>
        <v>96.44773600000002</v>
      </c>
      <c r="DA57" s="59">
        <f t="shared" si="61"/>
        <v>17.8597182</v>
      </c>
      <c r="DB57" s="59">
        <f t="shared" si="62"/>
        <v>6.9768920666666627</v>
      </c>
      <c r="DC57" s="59">
        <f t="shared" si="63"/>
        <v>17.56205623</v>
      </c>
      <c r="DD57" s="59">
        <f t="shared" si="64"/>
        <v>1.0963687533333328</v>
      </c>
      <c r="DE57" s="79">
        <f t="shared" si="65"/>
        <v>98.713232992000016</v>
      </c>
      <c r="DF57" s="83">
        <f t="shared" si="66"/>
        <v>115.10616098333335</v>
      </c>
      <c r="DG57" s="412"/>
    </row>
    <row r="58" spans="2:111" ht="16.5" customHeight="1" x14ac:dyDescent="0.25">
      <c r="B58" s="419"/>
      <c r="C58" s="414" t="s">
        <v>286</v>
      </c>
      <c r="D58" s="48" t="s">
        <v>200</v>
      </c>
      <c r="E58" s="49" t="s">
        <v>1074</v>
      </c>
      <c r="F58" s="415">
        <f t="shared" si="35"/>
        <v>0.82624176083964185</v>
      </c>
      <c r="G58" s="415" t="str">
        <f t="shared" ca="1" si="36"/>
        <v>Yes</v>
      </c>
      <c r="H58" s="51" t="str">
        <f t="shared" si="37"/>
        <v>Main - Genoa - Spinnaker</v>
      </c>
      <c r="I58" s="358">
        <v>44633</v>
      </c>
      <c r="J58" s="52">
        <v>44633</v>
      </c>
      <c r="K58" s="434" t="s">
        <v>1077</v>
      </c>
      <c r="L58" s="53" t="s">
        <v>299</v>
      </c>
      <c r="M58" s="357"/>
      <c r="N58" s="55" t="s">
        <v>127</v>
      </c>
      <c r="O58" s="55" t="s">
        <v>138</v>
      </c>
      <c r="P58" s="56"/>
      <c r="Q58" s="57">
        <v>7.42</v>
      </c>
      <c r="R58" s="58"/>
      <c r="S58" s="59">
        <f t="shared" si="34"/>
        <v>0.1855</v>
      </c>
      <c r="T58" s="60">
        <v>0.35</v>
      </c>
      <c r="U58" s="60"/>
      <c r="V58" s="61">
        <f t="shared" si="67"/>
        <v>7.07</v>
      </c>
      <c r="W58" s="62">
        <f>IF(RL&gt;0,IF(RL&gt;'Look Ups'!R$7,'Look Ups'!R$8,('Look Ups'!R$3*RL^3+'Look Ups'!R$4*RL^2+'Look Ups'!R$5*RL+'Look Ups'!R$6)),0)</f>
        <v>0.29004811701900002</v>
      </c>
      <c r="X58" s="63">
        <v>1057</v>
      </c>
      <c r="Y58" s="258"/>
      <c r="Z58" s="64"/>
      <c r="AA58" s="64"/>
      <c r="AB58" s="65">
        <f t="shared" si="38"/>
        <v>1057</v>
      </c>
      <c r="AC58" s="66">
        <f t="shared" si="39"/>
        <v>1057</v>
      </c>
      <c r="AD58" s="67" t="s">
        <v>129</v>
      </c>
      <c r="AE58" s="68" t="s">
        <v>130</v>
      </c>
      <c r="AF58" s="69" t="s">
        <v>131</v>
      </c>
      <c r="AG58" s="70">
        <f>IF(C58="",0,VLOOKUP(AD58,'Look Ups'!$B$3:$C$6,2,0)*VLOOKUP(AE58,'Look Ups'!$E$3:$F$5,2,0)*VLOOKUP(AF58,'Look Ups'!$H$3:$I$7,2,0))</f>
        <v>1</v>
      </c>
      <c r="AH58" s="71">
        <v>9.83</v>
      </c>
      <c r="AI58" s="60">
        <v>9.5350000000000001</v>
      </c>
      <c r="AJ58" s="60">
        <v>3.11</v>
      </c>
      <c r="AK58" s="60">
        <v>1.2150000000000001</v>
      </c>
      <c r="AL58" s="60">
        <v>0.3</v>
      </c>
      <c r="AM58" s="60">
        <v>9.4649999999999999</v>
      </c>
      <c r="AN58" s="60">
        <v>0.115</v>
      </c>
      <c r="AO58" s="60">
        <v>3.2349999999999999</v>
      </c>
      <c r="AP58" s="60"/>
      <c r="AQ58" s="60">
        <v>0.5</v>
      </c>
      <c r="AR58" s="60" t="s">
        <v>132</v>
      </c>
      <c r="AS58" s="75"/>
      <c r="AT58" s="59">
        <f t="shared" si="40"/>
        <v>9.4649999999999999</v>
      </c>
      <c r="AU58" s="59">
        <f t="shared" si="41"/>
        <v>1.7746875</v>
      </c>
      <c r="AV58" s="72">
        <f>IF(C58="",0,(0.5*(_ML1*LPM)+0.5*(_ML1*HB)+0.66*(P*PR)+0.66*(_ML2*RDM)+0.66*(E*ER))*VLOOKUP(BATT,'Look Ups'!$N$3:$O$4,2,0))</f>
        <v>23.863698500000002</v>
      </c>
      <c r="AW58" s="73"/>
      <c r="AX58" s="74"/>
      <c r="AY58" s="71">
        <v>8.6999999999999993</v>
      </c>
      <c r="AZ58" s="60">
        <v>2.81</v>
      </c>
      <c r="BA58" s="60">
        <v>3.1</v>
      </c>
      <c r="BB58" s="60">
        <v>0.13</v>
      </c>
      <c r="BC58" s="60">
        <v>7.86</v>
      </c>
      <c r="BD58" s="60"/>
      <c r="BE58" s="60"/>
      <c r="BF58" s="60">
        <v>0.28999999999999998</v>
      </c>
      <c r="BG58" s="60">
        <v>0.03</v>
      </c>
      <c r="BH58" s="75"/>
      <c r="BI58" s="72">
        <f t="shared" si="42"/>
        <v>14.166143999999999</v>
      </c>
      <c r="BJ58" s="76"/>
      <c r="BK58" s="77"/>
      <c r="BL58" s="78"/>
      <c r="BM58" s="78"/>
      <c r="BN58" s="77"/>
      <c r="BO58" s="78"/>
      <c r="BP58" s="78"/>
      <c r="BQ58" s="79">
        <f t="shared" si="43"/>
        <v>0</v>
      </c>
      <c r="BR58" s="80"/>
      <c r="BS58" s="77"/>
      <c r="BT58" s="77"/>
      <c r="BU58" s="77"/>
      <c r="BV58" s="77"/>
      <c r="BW58" s="77"/>
      <c r="BX58" s="77"/>
      <c r="BY58" s="72">
        <f t="shared" si="44"/>
        <v>0</v>
      </c>
      <c r="BZ58" s="73">
        <v>6.95</v>
      </c>
      <c r="CA58" s="60">
        <v>10.85</v>
      </c>
      <c r="CB58" s="60">
        <v>10.11</v>
      </c>
      <c r="CC58" s="60">
        <v>5.92</v>
      </c>
      <c r="CD58" s="65">
        <f t="shared" si="45"/>
        <v>85.17985611510791</v>
      </c>
      <c r="CE58" s="60"/>
      <c r="CF58" s="79">
        <f t="shared" si="46"/>
        <v>53.500399999999999</v>
      </c>
      <c r="CG58" s="71"/>
      <c r="CH58" s="60"/>
      <c r="CI58" s="60"/>
      <c r="CJ58" s="60"/>
      <c r="CK58" s="59" t="str">
        <f t="shared" si="47"/>
        <v/>
      </c>
      <c r="CL58" s="60"/>
      <c r="CM58" s="72">
        <f t="shared" si="48"/>
        <v>0</v>
      </c>
      <c r="CN58" s="81">
        <f t="shared" si="49"/>
        <v>1</v>
      </c>
      <c r="CO58" s="59">
        <f t="shared" si="50"/>
        <v>25.638386000000001</v>
      </c>
      <c r="CP58" s="59">
        <f t="shared" si="51"/>
        <v>1</v>
      </c>
      <c r="CQ58" s="59">
        <f t="shared" si="52"/>
        <v>14.166143999999999</v>
      </c>
      <c r="CR58" s="59">
        <f>IF(AV58&gt;0,'Look Ups'!$L$3,0)</f>
        <v>1</v>
      </c>
      <c r="CS58" s="59">
        <f t="shared" ref="CS58:CS68" si="68">IF(LPS&gt;0,0.72*(AS/(LPS^2))^0.3,0)</f>
        <v>0</v>
      </c>
      <c r="CT58" s="59">
        <f t="shared" ref="CT58:CT68" si="69">EFS*AS</f>
        <v>0</v>
      </c>
      <c r="CU58" s="59">
        <f t="shared" ref="CU58:CU68" si="70">IF(LPD&gt;0,0.72*(AD/(LPD^2))^0.3,0)</f>
        <v>0</v>
      </c>
      <c r="CV58" s="79">
        <f t="shared" ref="CV58:CV68" si="71">IF((AD-AG)&gt;0,0.3*(AD-AG)*EFD,0)</f>
        <v>0</v>
      </c>
      <c r="CW58" s="82" t="str">
        <f t="shared" si="57"/>
        <v>-</v>
      </c>
      <c r="CX58" s="65" t="str">
        <f t="shared" si="58"/>
        <v>valid</v>
      </c>
      <c r="CY58" s="66" t="str">
        <f t="shared" si="59"/>
        <v>MGSp</v>
      </c>
      <c r="CZ58" s="81">
        <f t="shared" si="60"/>
        <v>39.80453</v>
      </c>
      <c r="DA58" s="59">
        <f t="shared" si="61"/>
        <v>11.800276799999999</v>
      </c>
      <c r="DB58" s="59">
        <f t="shared" si="62"/>
        <v>0</v>
      </c>
      <c r="DC58" s="59">
        <f t="shared" si="63"/>
        <v>11.603605519999999</v>
      </c>
      <c r="DD58" s="59">
        <f t="shared" si="64"/>
        <v>0</v>
      </c>
      <c r="DE58" s="79">
        <f t="shared" si="65"/>
        <v>41.043532136000003</v>
      </c>
      <c r="DF58" s="83">
        <f t="shared" si="66"/>
        <v>51.604806799999999</v>
      </c>
      <c r="DG58" s="412"/>
    </row>
    <row r="59" spans="2:111" ht="16.25" customHeight="1" x14ac:dyDescent="0.25">
      <c r="B59" s="414"/>
      <c r="C59" s="414" t="s">
        <v>938</v>
      </c>
      <c r="D59" s="48" t="s">
        <v>939</v>
      </c>
      <c r="E59" s="49" t="s">
        <v>935</v>
      </c>
      <c r="F59" s="415">
        <f t="shared" si="35"/>
        <v>1.0202346897567529</v>
      </c>
      <c r="G59" s="415" t="str">
        <f t="shared" ca="1" si="36"/>
        <v>Yes</v>
      </c>
      <c r="H59" s="51" t="str">
        <f t="shared" si="37"/>
        <v>Main - Genoa - Screacher - Spinnaker</v>
      </c>
      <c r="I59" s="52">
        <v>43175</v>
      </c>
      <c r="J59" s="52">
        <v>44099</v>
      </c>
      <c r="K59" s="53" t="s">
        <v>506</v>
      </c>
      <c r="L59" s="53" t="s">
        <v>299</v>
      </c>
      <c r="M59" s="54" t="s">
        <v>1109</v>
      </c>
      <c r="N59" s="55" t="s">
        <v>149</v>
      </c>
      <c r="O59" s="55"/>
      <c r="P59" s="56"/>
      <c r="Q59" s="57">
        <v>9.5399999999999991</v>
      </c>
      <c r="R59" s="58"/>
      <c r="S59" s="59">
        <f t="shared" si="34"/>
        <v>0.23849999999999999</v>
      </c>
      <c r="T59" s="60">
        <v>0.05</v>
      </c>
      <c r="U59" s="60"/>
      <c r="V59" s="61">
        <f t="shared" si="67"/>
        <v>9.4899999999999984</v>
      </c>
      <c r="W59" s="62">
        <f>IF(RL&gt;0,IF(RL&gt;'Look Ups'!R$7,'Look Ups'!R$8,('Look Ups'!R$3*RL^3+'Look Ups'!R$4*RL^2+'Look Ups'!R$5*RL+'Look Ups'!R$6)),0)</f>
        <v>0.297674981517</v>
      </c>
      <c r="X59" s="63">
        <v>1433</v>
      </c>
      <c r="Y59" s="64"/>
      <c r="Z59" s="64"/>
      <c r="AA59" s="64"/>
      <c r="AB59" s="65">
        <f t="shared" si="38"/>
        <v>1433</v>
      </c>
      <c r="AC59" s="66">
        <f t="shared" si="39"/>
        <v>1433</v>
      </c>
      <c r="AD59" s="67" t="s">
        <v>129</v>
      </c>
      <c r="AE59" s="68" t="s">
        <v>130</v>
      </c>
      <c r="AF59" s="69" t="s">
        <v>131</v>
      </c>
      <c r="AG59" s="70">
        <f>IF(C59="",0,VLOOKUP(AD59,'Look Ups'!$B$3:$C$6,2,0)*VLOOKUP(AE59,'Look Ups'!$E$3:$F$5,2,0)*VLOOKUP(AF59,'Look Ups'!$H$3:$I$7,2,0))</f>
        <v>1</v>
      </c>
      <c r="AH59" s="71">
        <v>14.05</v>
      </c>
      <c r="AI59" s="60">
        <v>13.73</v>
      </c>
      <c r="AJ59" s="60">
        <v>3.77</v>
      </c>
      <c r="AK59" s="60">
        <v>1.86</v>
      </c>
      <c r="AL59" s="60">
        <v>0.31</v>
      </c>
      <c r="AM59" s="60">
        <v>13.87</v>
      </c>
      <c r="AN59" s="60">
        <v>0.15</v>
      </c>
      <c r="AO59" s="60">
        <v>3.9</v>
      </c>
      <c r="AP59" s="60">
        <v>0</v>
      </c>
      <c r="AQ59" s="60">
        <v>0.60000000000000009</v>
      </c>
      <c r="AR59" s="60" t="s">
        <v>132</v>
      </c>
      <c r="AS59" s="75">
        <v>0</v>
      </c>
      <c r="AT59" s="59">
        <f t="shared" si="40"/>
        <v>13.87</v>
      </c>
      <c r="AU59" s="59">
        <f t="shared" si="41"/>
        <v>3.1207500000000006</v>
      </c>
      <c r="AV59" s="72">
        <f>IF(C59="",0,(0.5*(_ML1*LPM)+0.5*(_ML1*HB)+0.66*(P*PR)+0.66*(_ML2*RDM)+0.66*(E*ER))*VLOOKUP(BATT,'Look Ups'!$N$3:$O$4,2,0))</f>
        <v>43.733038000000015</v>
      </c>
      <c r="AW59" s="73"/>
      <c r="AX59" s="74"/>
      <c r="AY59" s="71">
        <v>11.96</v>
      </c>
      <c r="AZ59" s="60">
        <v>3.2</v>
      </c>
      <c r="BA59" s="60">
        <v>3.27</v>
      </c>
      <c r="BB59" s="60">
        <v>0.15</v>
      </c>
      <c r="BC59" s="60">
        <v>11.55</v>
      </c>
      <c r="BD59" s="60"/>
      <c r="BE59" s="60"/>
      <c r="BF59" s="60">
        <v>-0.08</v>
      </c>
      <c r="BG59" s="60">
        <v>0</v>
      </c>
      <c r="BH59" s="75">
        <v>0</v>
      </c>
      <c r="BI59" s="72">
        <f t="shared" si="42"/>
        <v>18.849890000000006</v>
      </c>
      <c r="BJ59" s="76"/>
      <c r="BK59" s="77"/>
      <c r="BL59" s="78"/>
      <c r="BM59" s="78"/>
      <c r="BN59" s="77"/>
      <c r="BO59" s="78"/>
      <c r="BP59" s="78"/>
      <c r="BQ59" s="79">
        <f t="shared" si="43"/>
        <v>0</v>
      </c>
      <c r="BR59" s="80"/>
      <c r="BS59" s="77"/>
      <c r="BT59" s="77"/>
      <c r="BU59" s="77"/>
      <c r="BV59" s="77"/>
      <c r="BW59" s="77"/>
      <c r="BX59" s="77"/>
      <c r="BY59" s="72">
        <f t="shared" si="44"/>
        <v>0</v>
      </c>
      <c r="BZ59" s="73">
        <v>7.97</v>
      </c>
      <c r="CA59" s="60">
        <v>14.74</v>
      </c>
      <c r="CB59" s="60">
        <v>14.02</v>
      </c>
      <c r="CC59" s="60">
        <v>6.83</v>
      </c>
      <c r="CD59" s="65">
        <f t="shared" si="45"/>
        <v>85.696361355081564</v>
      </c>
      <c r="CE59" s="60" t="s">
        <v>934</v>
      </c>
      <c r="CF59" s="79">
        <f t="shared" si="46"/>
        <v>84.578366666666668</v>
      </c>
      <c r="CG59" s="71">
        <v>7.75</v>
      </c>
      <c r="CH59" s="60">
        <v>10.9</v>
      </c>
      <c r="CI59" s="60">
        <v>12.84</v>
      </c>
      <c r="CJ59" s="60">
        <v>4</v>
      </c>
      <c r="CK59" s="59">
        <f t="shared" si="47"/>
        <v>51.612903225806448</v>
      </c>
      <c r="CL59" s="60">
        <v>0</v>
      </c>
      <c r="CM59" s="72">
        <f t="shared" si="48"/>
        <v>46.985416666666673</v>
      </c>
      <c r="CN59" s="81">
        <f t="shared" si="49"/>
        <v>1</v>
      </c>
      <c r="CO59" s="59">
        <f t="shared" si="50"/>
        <v>46.853788000000016</v>
      </c>
      <c r="CP59" s="59">
        <f t="shared" si="51"/>
        <v>1</v>
      </c>
      <c r="CQ59" s="59">
        <f t="shared" si="52"/>
        <v>18.849890000000006</v>
      </c>
      <c r="CR59" s="59">
        <f>IF(AV59&gt;0,'Look Ups'!$L$3,0)</f>
        <v>1</v>
      </c>
      <c r="CS59" s="59">
        <f t="shared" si="68"/>
        <v>0</v>
      </c>
      <c r="CT59" s="59">
        <f t="shared" si="69"/>
        <v>0</v>
      </c>
      <c r="CU59" s="59">
        <f t="shared" si="70"/>
        <v>0</v>
      </c>
      <c r="CV59" s="79">
        <f t="shared" si="71"/>
        <v>0</v>
      </c>
      <c r="CW59" s="82" t="str">
        <f t="shared" si="57"/>
        <v>valid</v>
      </c>
      <c r="CX59" s="65" t="str">
        <f t="shared" si="58"/>
        <v>valid</v>
      </c>
      <c r="CY59" s="66" t="str">
        <f t="shared" si="59"/>
        <v>MGScrSp</v>
      </c>
      <c r="CZ59" s="81">
        <f t="shared" si="60"/>
        <v>65.703678000000025</v>
      </c>
      <c r="DA59" s="59">
        <f t="shared" si="61"/>
        <v>19.718543</v>
      </c>
      <c r="DB59" s="59">
        <f t="shared" si="62"/>
        <v>9.8474343333333323</v>
      </c>
      <c r="DC59" s="59">
        <f t="shared" si="63"/>
        <v>19.389900616666665</v>
      </c>
      <c r="DD59" s="59">
        <f t="shared" si="64"/>
        <v>1.5474539666666667</v>
      </c>
      <c r="DE59" s="79">
        <f t="shared" si="65"/>
        <v>68.728098984000027</v>
      </c>
      <c r="DF59" s="83">
        <f t="shared" si="66"/>
        <v>86.641032583333356</v>
      </c>
      <c r="DG59" s="365"/>
    </row>
    <row r="60" spans="2:111" ht="16.5" customHeight="1" x14ac:dyDescent="0.25">
      <c r="B60" s="418"/>
      <c r="C60" s="414" t="s">
        <v>922</v>
      </c>
      <c r="D60" s="48" t="s">
        <v>287</v>
      </c>
      <c r="E60" s="49" t="s">
        <v>288</v>
      </c>
      <c r="F60" s="415">
        <f t="shared" si="35"/>
        <v>0.86304637913398641</v>
      </c>
      <c r="G60" s="415" t="str">
        <f t="shared" ca="1" si="36"/>
        <v>No</v>
      </c>
      <c r="H60" s="51" t="str">
        <f t="shared" si="37"/>
        <v>Main - Genoa - Screacher - Spinnaker</v>
      </c>
      <c r="I60" s="52">
        <v>39739</v>
      </c>
      <c r="J60" s="52">
        <v>42850</v>
      </c>
      <c r="K60" s="53" t="s">
        <v>205</v>
      </c>
      <c r="L60" s="53" t="s">
        <v>841</v>
      </c>
      <c r="M60" s="54"/>
      <c r="N60" s="75" t="s">
        <v>127</v>
      </c>
      <c r="O60" s="75" t="s">
        <v>128</v>
      </c>
      <c r="P60" s="56"/>
      <c r="Q60" s="57">
        <v>8.34</v>
      </c>
      <c r="R60" s="58"/>
      <c r="S60" s="59">
        <f t="shared" si="34"/>
        <v>0.20850000000000002</v>
      </c>
      <c r="T60" s="60">
        <v>0.26</v>
      </c>
      <c r="U60" s="60"/>
      <c r="V60" s="61">
        <f t="shared" si="67"/>
        <v>8.08</v>
      </c>
      <c r="W60" s="62">
        <f>IF(RL&gt;0,IF(RL&gt;'Look Ups'!R$7,'Look Ups'!R$8,('Look Ups'!R$3*RL^3+'Look Ups'!R$4*RL^2+'Look Ups'!R$5*RL+'Look Ups'!R$6)),0)</f>
        <v>0.29406700569600003</v>
      </c>
      <c r="X60" s="63">
        <v>1395</v>
      </c>
      <c r="Y60" s="258"/>
      <c r="Z60" s="64"/>
      <c r="AA60" s="64"/>
      <c r="AB60" s="65">
        <f t="shared" si="38"/>
        <v>1395</v>
      </c>
      <c r="AC60" s="66">
        <f t="shared" si="39"/>
        <v>1395</v>
      </c>
      <c r="AD60" s="67" t="s">
        <v>129</v>
      </c>
      <c r="AE60" s="68" t="s">
        <v>130</v>
      </c>
      <c r="AF60" s="69" t="s">
        <v>131</v>
      </c>
      <c r="AG60" s="70">
        <f>IF(C60="",0,VLOOKUP(AD60,'Look Ups'!$B$3:$C$6,2,0)*VLOOKUP(AE60,'Look Ups'!$E$3:$F$5,2,0)*VLOOKUP(AF60,'Look Ups'!$H$3:$I$7,2,0))</f>
        <v>1</v>
      </c>
      <c r="AH60" s="71">
        <v>10.641</v>
      </c>
      <c r="AI60" s="60">
        <v>10.413</v>
      </c>
      <c r="AJ60" s="60">
        <v>3.58</v>
      </c>
      <c r="AK60" s="60">
        <v>0.80900000000000005</v>
      </c>
      <c r="AL60" s="60">
        <v>0.57699999999999996</v>
      </c>
      <c r="AM60" s="60">
        <v>9.9459999999999997</v>
      </c>
      <c r="AN60" s="60">
        <v>0.13300000000000001</v>
      </c>
      <c r="AO60" s="60">
        <v>3.83</v>
      </c>
      <c r="AP60" s="60">
        <v>0</v>
      </c>
      <c r="AQ60" s="60"/>
      <c r="AR60" s="60" t="s">
        <v>132</v>
      </c>
      <c r="AS60" s="75">
        <v>3</v>
      </c>
      <c r="AT60" s="59">
        <f t="shared" si="40"/>
        <v>9.9459999999999997</v>
      </c>
      <c r="AU60" s="59">
        <f t="shared" si="41"/>
        <v>0</v>
      </c>
      <c r="AV60" s="72">
        <f>IF(C60="",0,(0.5*(_ML1*LPM)+0.5*(_ML1*HB)+0.66*(P*PR)+0.66*(_ML2*RDM)+0.66*(E*ER))*VLOOKUP(BATT,'Look Ups'!$N$3:$O$4,2,0))</f>
        <v>28.19021304</v>
      </c>
      <c r="AW60" s="73"/>
      <c r="AX60" s="74"/>
      <c r="AY60" s="71">
        <v>10.132999999999999</v>
      </c>
      <c r="AZ60" s="60">
        <v>3.37</v>
      </c>
      <c r="BA60" s="60">
        <v>4.1479999999999997</v>
      </c>
      <c r="BB60" s="60">
        <v>0.18099999999999999</v>
      </c>
      <c r="BC60" s="60">
        <v>9.2089999999999996</v>
      </c>
      <c r="BD60" s="60"/>
      <c r="BE60" s="60"/>
      <c r="BF60" s="60">
        <v>0.113</v>
      </c>
      <c r="BG60" s="60">
        <v>2.1999999999999999E-2</v>
      </c>
      <c r="BH60" s="75"/>
      <c r="BI60" s="72">
        <f t="shared" si="42"/>
        <v>18.403563459999997</v>
      </c>
      <c r="BJ60" s="76"/>
      <c r="BK60" s="77"/>
      <c r="BL60" s="78"/>
      <c r="BM60" s="78"/>
      <c r="BN60" s="77"/>
      <c r="BO60" s="78"/>
      <c r="BP60" s="78"/>
      <c r="BQ60" s="79">
        <f t="shared" si="43"/>
        <v>0</v>
      </c>
      <c r="BR60" s="80"/>
      <c r="BS60" s="77"/>
      <c r="BT60" s="77"/>
      <c r="BU60" s="77"/>
      <c r="BV60" s="77"/>
      <c r="BW60" s="77"/>
      <c r="BX60" s="77"/>
      <c r="BY60" s="72">
        <f t="shared" si="44"/>
        <v>0</v>
      </c>
      <c r="BZ60" s="73">
        <v>8.4</v>
      </c>
      <c r="CA60" s="60">
        <v>12.2</v>
      </c>
      <c r="CB60" s="60">
        <v>11.35</v>
      </c>
      <c r="CC60" s="60">
        <v>7.3</v>
      </c>
      <c r="CD60" s="65">
        <f t="shared" si="45"/>
        <v>86.904761904761898</v>
      </c>
      <c r="CE60" s="60"/>
      <c r="CF60" s="79">
        <f t="shared" si="46"/>
        <v>73.789999999999992</v>
      </c>
      <c r="CG60" s="71">
        <v>7.4980000000000002</v>
      </c>
      <c r="CH60" s="60">
        <v>10.875</v>
      </c>
      <c r="CI60" s="60">
        <v>9.8960000000000008</v>
      </c>
      <c r="CJ60" s="60">
        <v>3.8050000000000002</v>
      </c>
      <c r="CK60" s="59">
        <f t="shared" si="47"/>
        <v>50.746865830888233</v>
      </c>
      <c r="CL60" s="60"/>
      <c r="CM60" s="72">
        <f t="shared" si="48"/>
        <v>39.322964833333337</v>
      </c>
      <c r="CN60" s="81">
        <f t="shared" si="49"/>
        <v>1</v>
      </c>
      <c r="CO60" s="59">
        <f t="shared" si="50"/>
        <v>28.190213039999996</v>
      </c>
      <c r="CP60" s="59">
        <f t="shared" si="51"/>
        <v>1</v>
      </c>
      <c r="CQ60" s="59">
        <f t="shared" si="52"/>
        <v>18.403563459999997</v>
      </c>
      <c r="CR60" s="59">
        <f>IF(AV60&gt;0,'Look Ups'!$L$3,0)</f>
        <v>1</v>
      </c>
      <c r="CS60" s="59">
        <f t="shared" si="68"/>
        <v>0</v>
      </c>
      <c r="CT60" s="59">
        <f t="shared" si="69"/>
        <v>0</v>
      </c>
      <c r="CU60" s="59">
        <f t="shared" si="70"/>
        <v>0</v>
      </c>
      <c r="CV60" s="79">
        <f t="shared" si="71"/>
        <v>0</v>
      </c>
      <c r="CW60" s="82" t="str">
        <f t="shared" si="57"/>
        <v>valid</v>
      </c>
      <c r="CX60" s="65" t="str">
        <f t="shared" si="58"/>
        <v>valid</v>
      </c>
      <c r="CY60" s="66" t="str">
        <f t="shared" si="59"/>
        <v>MGScrSp</v>
      </c>
      <c r="CZ60" s="81">
        <f t="shared" si="60"/>
        <v>46.59377649999999</v>
      </c>
      <c r="DA60" s="59">
        <f t="shared" si="61"/>
        <v>16.615930961999997</v>
      </c>
      <c r="DB60" s="59">
        <f t="shared" si="62"/>
        <v>7.3217904806666683</v>
      </c>
      <c r="DC60" s="59">
        <f t="shared" si="63"/>
        <v>16.338998779299995</v>
      </c>
      <c r="DD60" s="59">
        <f t="shared" si="64"/>
        <v>1.1505670755333337</v>
      </c>
      <c r="DE60" s="79">
        <f t="shared" si="65"/>
        <v>47.65073465463999</v>
      </c>
      <c r="DF60" s="83">
        <f t="shared" si="66"/>
        <v>64.08334235483332</v>
      </c>
      <c r="DG60" s="412"/>
    </row>
    <row r="61" spans="2:111" ht="16.5" customHeight="1" x14ac:dyDescent="0.25">
      <c r="B61" s="418"/>
      <c r="C61" s="418" t="s">
        <v>887</v>
      </c>
      <c r="D61" s="169" t="s">
        <v>888</v>
      </c>
      <c r="E61" s="170" t="s">
        <v>889</v>
      </c>
      <c r="F61" s="415">
        <f t="shared" si="35"/>
        <v>0.73884523558580895</v>
      </c>
      <c r="G61" s="415" t="str">
        <f t="shared" ca="1" si="36"/>
        <v>Yes</v>
      </c>
      <c r="H61" s="51" t="str">
        <f t="shared" si="37"/>
        <v>Main - Genoa - Spinnaker</v>
      </c>
      <c r="I61" s="171">
        <v>42680</v>
      </c>
      <c r="J61" s="171">
        <v>42683</v>
      </c>
      <c r="K61" s="172" t="s">
        <v>303</v>
      </c>
      <c r="L61" s="172" t="s">
        <v>841</v>
      </c>
      <c r="M61" s="171"/>
      <c r="N61" s="87" t="s">
        <v>127</v>
      </c>
      <c r="O61" s="87" t="s">
        <v>128</v>
      </c>
      <c r="P61" s="174"/>
      <c r="Q61" s="175">
        <v>6</v>
      </c>
      <c r="R61" s="78"/>
      <c r="S61" s="59">
        <f t="shared" si="34"/>
        <v>0.15000000000000002</v>
      </c>
      <c r="T61" s="176"/>
      <c r="U61" s="176"/>
      <c r="V61" s="61">
        <f t="shared" si="67"/>
        <v>6</v>
      </c>
      <c r="W61" s="62">
        <f>IF(RL&gt;0,IF(RL&gt;'Look Ups'!R$7,'Look Ups'!R$8,('Look Ups'!R$3*RL^3+'Look Ups'!R$4*RL^2+'Look Ups'!R$5*RL+'Look Ups'!R$6)),0)</f>
        <v>0.28422800000000004</v>
      </c>
      <c r="X61" s="177">
        <v>679</v>
      </c>
      <c r="Y61" s="178"/>
      <c r="Z61" s="178"/>
      <c r="AA61" s="178"/>
      <c r="AB61" s="65">
        <f t="shared" si="38"/>
        <v>679</v>
      </c>
      <c r="AC61" s="66">
        <f t="shared" si="39"/>
        <v>679</v>
      </c>
      <c r="AD61" s="179" t="s">
        <v>129</v>
      </c>
      <c r="AE61" s="180" t="s">
        <v>130</v>
      </c>
      <c r="AF61" s="181" t="s">
        <v>131</v>
      </c>
      <c r="AG61" s="70">
        <f>IF(C61="",0,VLOOKUP(AD61,'Look Ups'!$B$3:$C$6,2,0)*VLOOKUP(AE61,'Look Ups'!$E$3:$F$5,2,0)*VLOOKUP(AF61,'Look Ups'!$H$3:$I$7,2,0))</f>
        <v>1</v>
      </c>
      <c r="AH61" s="71">
        <v>7.22</v>
      </c>
      <c r="AI61" s="60">
        <v>6.98</v>
      </c>
      <c r="AJ61" s="60">
        <v>2.2599999999999998</v>
      </c>
      <c r="AK61" s="60">
        <v>0.6</v>
      </c>
      <c r="AL61" s="60">
        <v>0.33</v>
      </c>
      <c r="AM61" s="60">
        <v>6.9</v>
      </c>
      <c r="AN61" s="60">
        <v>0.1</v>
      </c>
      <c r="AO61" s="60">
        <v>2.238</v>
      </c>
      <c r="AP61" s="60">
        <v>0.02</v>
      </c>
      <c r="AQ61" s="60"/>
      <c r="AR61" s="77" t="s">
        <v>132</v>
      </c>
      <c r="AS61" s="87"/>
      <c r="AT61" s="59">
        <f t="shared" si="40"/>
        <v>6.92</v>
      </c>
      <c r="AU61" s="59">
        <f t="shared" si="41"/>
        <v>0</v>
      </c>
      <c r="AV61" s="72">
        <f>IF(C61="",0,(0.5*(_ML1*LPM)+0.5*(_ML1*HB)+0.66*(P*PR)+0.66*(_ML2*RDM)+0.66*(E*ER))*VLOOKUP(BATT,'Look Ups'!$N$3:$O$4,2,0))</f>
        <v>12.329785599999999</v>
      </c>
      <c r="AW61" s="182"/>
      <c r="AX61" s="183"/>
      <c r="AY61" s="80">
        <v>7.31</v>
      </c>
      <c r="AZ61" s="77">
        <v>2.73</v>
      </c>
      <c r="BA61" s="77">
        <v>3.12</v>
      </c>
      <c r="BB61" s="77">
        <v>0.17</v>
      </c>
      <c r="BC61" s="77">
        <v>6.45</v>
      </c>
      <c r="BD61" s="77"/>
      <c r="BE61" s="77"/>
      <c r="BF61" s="77">
        <v>0.09</v>
      </c>
      <c r="BG61" s="77"/>
      <c r="BH61" s="87"/>
      <c r="BI61" s="72">
        <f t="shared" si="42"/>
        <v>10.711343999999999</v>
      </c>
      <c r="BJ61" s="76"/>
      <c r="BK61" s="77"/>
      <c r="BL61" s="78"/>
      <c r="BM61" s="78"/>
      <c r="BN61" s="77"/>
      <c r="BO61" s="78"/>
      <c r="BP61" s="78"/>
      <c r="BQ61" s="79">
        <f t="shared" si="43"/>
        <v>0</v>
      </c>
      <c r="BR61" s="80"/>
      <c r="BS61" s="77"/>
      <c r="BT61" s="77"/>
      <c r="BU61" s="77"/>
      <c r="BV61" s="77"/>
      <c r="BW61" s="77"/>
      <c r="BX61" s="77"/>
      <c r="BY61" s="72">
        <f t="shared" si="44"/>
        <v>0</v>
      </c>
      <c r="BZ61" s="182">
        <v>5.95</v>
      </c>
      <c r="CA61" s="77">
        <v>8.3000000000000007</v>
      </c>
      <c r="CB61" s="77">
        <v>9.4</v>
      </c>
      <c r="CC61" s="77">
        <v>5.0999999999999996</v>
      </c>
      <c r="CD61" s="65">
        <f t="shared" si="45"/>
        <v>85.714285714285708</v>
      </c>
      <c r="CE61" s="77"/>
      <c r="CF61" s="79">
        <f t="shared" si="46"/>
        <v>38.866250000000008</v>
      </c>
      <c r="CG61" s="80"/>
      <c r="CH61" s="77"/>
      <c r="CI61" s="77"/>
      <c r="CJ61" s="77"/>
      <c r="CK61" s="59" t="str">
        <f t="shared" si="47"/>
        <v/>
      </c>
      <c r="CL61" s="77"/>
      <c r="CM61" s="72">
        <f t="shared" si="48"/>
        <v>0</v>
      </c>
      <c r="CN61" s="81">
        <f t="shared" si="49"/>
        <v>1</v>
      </c>
      <c r="CO61" s="59">
        <f t="shared" si="50"/>
        <v>12.329785599999999</v>
      </c>
      <c r="CP61" s="59">
        <f t="shared" si="51"/>
        <v>1</v>
      </c>
      <c r="CQ61" s="59">
        <f t="shared" si="52"/>
        <v>10.711343999999999</v>
      </c>
      <c r="CR61" s="59">
        <f>IF(AV61&gt;0,'Look Ups'!$L$3,0)</f>
        <v>1</v>
      </c>
      <c r="CS61" s="59">
        <f t="shared" si="68"/>
        <v>0</v>
      </c>
      <c r="CT61" s="59">
        <f t="shared" si="69"/>
        <v>0</v>
      </c>
      <c r="CU61" s="59">
        <f t="shared" si="70"/>
        <v>0</v>
      </c>
      <c r="CV61" s="79">
        <f t="shared" si="71"/>
        <v>0</v>
      </c>
      <c r="CW61" s="82" t="str">
        <f t="shared" si="57"/>
        <v>-</v>
      </c>
      <c r="CX61" s="65" t="str">
        <f t="shared" si="58"/>
        <v>valid</v>
      </c>
      <c r="CY61" s="66" t="str">
        <f t="shared" si="59"/>
        <v>MGSp</v>
      </c>
      <c r="CZ61" s="81">
        <f t="shared" si="60"/>
        <v>23.041129599999998</v>
      </c>
      <c r="DA61" s="59">
        <f t="shared" si="61"/>
        <v>8.446471800000003</v>
      </c>
      <c r="DB61" s="59">
        <f t="shared" si="62"/>
        <v>0</v>
      </c>
      <c r="DC61" s="59">
        <f t="shared" si="63"/>
        <v>8.3056972700000031</v>
      </c>
      <c r="DD61" s="59">
        <f t="shared" si="64"/>
        <v>0</v>
      </c>
      <c r="DE61" s="79">
        <f t="shared" si="65"/>
        <v>23.215921292799997</v>
      </c>
      <c r="DF61" s="83">
        <f t="shared" si="66"/>
        <v>31.487601400000003</v>
      </c>
      <c r="DG61" s="412"/>
    </row>
    <row r="62" spans="2:111" ht="16.5" customHeight="1" x14ac:dyDescent="0.25">
      <c r="B62" s="414"/>
      <c r="C62" s="414" t="s">
        <v>522</v>
      </c>
      <c r="D62" s="48" t="s">
        <v>523</v>
      </c>
      <c r="E62" s="49" t="s">
        <v>1085</v>
      </c>
      <c r="F62" s="415">
        <f t="shared" si="35"/>
        <v>0.84954784722251098</v>
      </c>
      <c r="G62" s="415" t="str">
        <f t="shared" ca="1" si="36"/>
        <v>Yes</v>
      </c>
      <c r="H62" s="51" t="str">
        <f t="shared" si="37"/>
        <v>Main - Genoa - Screacher - Spinnaker</v>
      </c>
      <c r="I62" s="52">
        <v>42579</v>
      </c>
      <c r="J62" s="52">
        <v>44672</v>
      </c>
      <c r="K62" s="53" t="s">
        <v>849</v>
      </c>
      <c r="L62" s="53" t="s">
        <v>614</v>
      </c>
      <c r="M62" s="54"/>
      <c r="N62" s="55" t="s">
        <v>149</v>
      </c>
      <c r="O62" s="55"/>
      <c r="P62" s="56"/>
      <c r="Q62" s="57">
        <v>6.96</v>
      </c>
      <c r="R62" s="58"/>
      <c r="S62" s="59">
        <f t="shared" si="34"/>
        <v>0.17400000000000002</v>
      </c>
      <c r="T62" s="60"/>
      <c r="U62" s="60"/>
      <c r="V62" s="61">
        <f t="shared" si="67"/>
        <v>6.96</v>
      </c>
      <c r="W62" s="62">
        <f>IF(RL&gt;0,IF(RL&gt;'Look Ups'!R$7,'Look Ups'!R$8,('Look Ups'!R$3*RL^3+'Look Ups'!R$4*RL^2+'Look Ups'!R$5*RL+'Look Ups'!R$6)),0)</f>
        <v>0.28952782668800003</v>
      </c>
      <c r="X62" s="63">
        <v>695</v>
      </c>
      <c r="Y62" s="64"/>
      <c r="Z62" s="64"/>
      <c r="AA62" s="64"/>
      <c r="AB62" s="65">
        <f t="shared" si="38"/>
        <v>695</v>
      </c>
      <c r="AC62" s="66">
        <f t="shared" si="39"/>
        <v>695</v>
      </c>
      <c r="AD62" s="67" t="s">
        <v>129</v>
      </c>
      <c r="AE62" s="68" t="s">
        <v>130</v>
      </c>
      <c r="AF62" s="69" t="s">
        <v>131</v>
      </c>
      <c r="AG62" s="70">
        <f>IF(C62="",0,VLOOKUP(AD62,'Look Ups'!$B$3:$C$6,2,0)*VLOOKUP(AE62,'Look Ups'!$E$3:$F$5,2,0)*VLOOKUP(AF62,'Look Ups'!$H$3:$I$7,2,0))</f>
        <v>1</v>
      </c>
      <c r="AH62" s="71">
        <v>9.5299999999999994</v>
      </c>
      <c r="AI62" s="60">
        <v>9.25</v>
      </c>
      <c r="AJ62" s="60">
        <v>2.69</v>
      </c>
      <c r="AK62" s="60">
        <v>1.1000000000000001</v>
      </c>
      <c r="AL62" s="60">
        <v>0.17</v>
      </c>
      <c r="AM62" s="60">
        <v>9.3000000000000007</v>
      </c>
      <c r="AN62" s="60">
        <v>7.0000000000000007E-2</v>
      </c>
      <c r="AO62" s="60">
        <v>2.75</v>
      </c>
      <c r="AP62" s="60">
        <v>0.08</v>
      </c>
      <c r="AQ62" s="60">
        <v>0.45500000000000002</v>
      </c>
      <c r="AR62" s="60" t="s">
        <v>132</v>
      </c>
      <c r="AS62" s="75"/>
      <c r="AT62" s="59">
        <f t="shared" si="40"/>
        <v>9.3800000000000008</v>
      </c>
      <c r="AU62" s="59">
        <f t="shared" si="41"/>
        <v>1.5868125000000002</v>
      </c>
      <c r="AV62" s="72">
        <f>IF(C62="",0,(0.5*(_ML1*LPM)+0.5*(_ML1*HB)+0.66*(P*PR)+0.66*(_ML2*RDM)+0.66*(E*ER))*VLOOKUP(BATT,'Look Ups'!$N$3:$O$4,2,0))</f>
        <v>19.672059999999995</v>
      </c>
      <c r="AW62" s="73"/>
      <c r="AX62" s="74"/>
      <c r="AY62" s="71">
        <v>8.5399999999999991</v>
      </c>
      <c r="AZ62" s="60">
        <v>2.2599999999999998</v>
      </c>
      <c r="BA62" s="60">
        <v>2.39</v>
      </c>
      <c r="BB62" s="60">
        <v>0</v>
      </c>
      <c r="BC62" s="60">
        <v>7.9</v>
      </c>
      <c r="BD62" s="60">
        <v>7.9</v>
      </c>
      <c r="BE62" s="60">
        <v>0.03</v>
      </c>
      <c r="BF62" s="60">
        <v>-0.25</v>
      </c>
      <c r="BG62" s="60">
        <v>0.03</v>
      </c>
      <c r="BH62" s="75"/>
      <c r="BI62" s="72">
        <f t="shared" si="42"/>
        <v>8.6342919999999967</v>
      </c>
      <c r="BJ62" s="76"/>
      <c r="BK62" s="77"/>
      <c r="BL62" s="78"/>
      <c r="BM62" s="78"/>
      <c r="BN62" s="77"/>
      <c r="BO62" s="78"/>
      <c r="BP62" s="78"/>
      <c r="BQ62" s="79">
        <f t="shared" si="43"/>
        <v>0</v>
      </c>
      <c r="BR62" s="80"/>
      <c r="BS62" s="77"/>
      <c r="BT62" s="77"/>
      <c r="BU62" s="77"/>
      <c r="BV62" s="77"/>
      <c r="BW62" s="77"/>
      <c r="BX62" s="77"/>
      <c r="BY62" s="72">
        <f t="shared" si="44"/>
        <v>0</v>
      </c>
      <c r="BZ62" s="73">
        <v>5.4</v>
      </c>
      <c r="CA62" s="60">
        <v>10.54</v>
      </c>
      <c r="CB62" s="60">
        <v>8.74</v>
      </c>
      <c r="CC62" s="60">
        <v>4.8499999999999996</v>
      </c>
      <c r="CD62" s="65">
        <f t="shared" si="45"/>
        <v>89.81481481481481</v>
      </c>
      <c r="CE62" s="60"/>
      <c r="CF62" s="79">
        <f t="shared" si="46"/>
        <v>39.845333333333329</v>
      </c>
      <c r="CG62" s="71">
        <v>5.16</v>
      </c>
      <c r="CH62" s="60">
        <v>9.1</v>
      </c>
      <c r="CI62" s="60">
        <v>8.5500000000000007</v>
      </c>
      <c r="CJ62" s="60">
        <v>2.65</v>
      </c>
      <c r="CK62" s="59">
        <f t="shared" si="47"/>
        <v>51.356589147286826</v>
      </c>
      <c r="CL62" s="60"/>
      <c r="CM62" s="72">
        <f t="shared" si="48"/>
        <v>23.180333333333333</v>
      </c>
      <c r="CN62" s="81">
        <f t="shared" si="49"/>
        <v>1</v>
      </c>
      <c r="CO62" s="59">
        <f t="shared" si="50"/>
        <v>21.258872499999995</v>
      </c>
      <c r="CP62" s="59">
        <f t="shared" si="51"/>
        <v>1</v>
      </c>
      <c r="CQ62" s="59">
        <f t="shared" si="52"/>
        <v>8.6342919999999967</v>
      </c>
      <c r="CR62" s="59">
        <f>IF(AV62&gt;0,'Look Ups'!$L$3,0)</f>
        <v>1</v>
      </c>
      <c r="CS62" s="59">
        <f t="shared" si="68"/>
        <v>0</v>
      </c>
      <c r="CT62" s="59">
        <f t="shared" si="69"/>
        <v>0</v>
      </c>
      <c r="CU62" s="59">
        <f t="shared" si="70"/>
        <v>0</v>
      </c>
      <c r="CV62" s="79">
        <f t="shared" si="71"/>
        <v>0</v>
      </c>
      <c r="CW62" s="82" t="str">
        <f t="shared" si="57"/>
        <v>valid</v>
      </c>
      <c r="CX62" s="65" t="str">
        <f t="shared" si="58"/>
        <v>valid</v>
      </c>
      <c r="CY62" s="66" t="str">
        <f t="shared" si="59"/>
        <v>MGScrSp</v>
      </c>
      <c r="CZ62" s="81">
        <f t="shared" si="60"/>
        <v>29.89316449999999</v>
      </c>
      <c r="DA62" s="59">
        <f t="shared" si="61"/>
        <v>9.3633123999999999</v>
      </c>
      <c r="DB62" s="59">
        <f t="shared" si="62"/>
        <v>5.0911144666666672</v>
      </c>
      <c r="DC62" s="59">
        <f t="shared" si="63"/>
        <v>9.2072571933333336</v>
      </c>
      <c r="DD62" s="59">
        <f t="shared" si="64"/>
        <v>0.80003227333333349</v>
      </c>
      <c r="DE62" s="79">
        <f t="shared" si="65"/>
        <v>31.256619193999992</v>
      </c>
      <c r="DF62" s="83">
        <f t="shared" si="66"/>
        <v>39.90045396666666</v>
      </c>
      <c r="DG62" s="412"/>
    </row>
    <row r="63" spans="2:111" ht="15.5" x14ac:dyDescent="0.25">
      <c r="B63" s="414"/>
      <c r="C63" s="414" t="s">
        <v>289</v>
      </c>
      <c r="D63" s="84" t="s">
        <v>290</v>
      </c>
      <c r="E63" s="49" t="s">
        <v>201</v>
      </c>
      <c r="F63" s="415">
        <f t="shared" si="35"/>
        <v>0.83988871617557836</v>
      </c>
      <c r="G63" s="415" t="str">
        <f t="shared" ca="1" si="36"/>
        <v>No</v>
      </c>
      <c r="H63" s="51" t="str">
        <f t="shared" si="37"/>
        <v>Main - Genoa - Screacher - Spinnaker</v>
      </c>
      <c r="I63" s="52">
        <v>40033</v>
      </c>
      <c r="J63" s="52">
        <v>40758</v>
      </c>
      <c r="K63" s="53" t="s">
        <v>174</v>
      </c>
      <c r="L63" s="53" t="s">
        <v>137</v>
      </c>
      <c r="M63" s="54"/>
      <c r="N63" s="75" t="s">
        <v>149</v>
      </c>
      <c r="O63" s="75"/>
      <c r="P63" s="85"/>
      <c r="Q63" s="57">
        <v>11.95</v>
      </c>
      <c r="R63" s="58"/>
      <c r="S63" s="59">
        <f t="shared" si="34"/>
        <v>0.29875000000000002</v>
      </c>
      <c r="T63" s="60">
        <v>0.04</v>
      </c>
      <c r="U63" s="60"/>
      <c r="V63" s="61">
        <f t="shared" si="67"/>
        <v>11.91</v>
      </c>
      <c r="W63" s="62">
        <f>IF(RL&gt;0,IF(RL&gt;'Look Ups'!R$7,'Look Ups'!R$8,('Look Ups'!R$3*RL^3+'Look Ups'!R$4*RL^2+'Look Ups'!R$5*RL+'Look Ups'!R$6)),0)</f>
        <v>0.299908218743</v>
      </c>
      <c r="X63" s="63">
        <v>4519</v>
      </c>
      <c r="Y63" s="64"/>
      <c r="Z63" s="64"/>
      <c r="AA63" s="64"/>
      <c r="AB63" s="65">
        <f t="shared" si="38"/>
        <v>4519</v>
      </c>
      <c r="AC63" s="66">
        <f t="shared" si="39"/>
        <v>4519</v>
      </c>
      <c r="AD63" s="67" t="s">
        <v>129</v>
      </c>
      <c r="AE63" s="68" t="s">
        <v>130</v>
      </c>
      <c r="AF63" s="69" t="s">
        <v>131</v>
      </c>
      <c r="AG63" s="70">
        <f>IF(C63="",0,VLOOKUP(AD63,'Look Ups'!$B$3:$C$6,2,0)*VLOOKUP(AE63,'Look Ups'!$E$3:$F$5,2,0)*VLOOKUP(AF63,'Look Ups'!$H$3:$I$7,2,0))</f>
        <v>1</v>
      </c>
      <c r="AH63" s="71">
        <v>14.29</v>
      </c>
      <c r="AI63" s="60">
        <v>13.93</v>
      </c>
      <c r="AJ63" s="60">
        <v>4.47</v>
      </c>
      <c r="AK63" s="60">
        <v>1.1599999999999999</v>
      </c>
      <c r="AL63" s="60">
        <v>1.05</v>
      </c>
      <c r="AM63" s="60">
        <v>13.6</v>
      </c>
      <c r="AN63" s="60">
        <v>0.15</v>
      </c>
      <c r="AO63" s="60">
        <v>4.71</v>
      </c>
      <c r="AP63" s="60">
        <v>0.04</v>
      </c>
      <c r="AQ63" s="60"/>
      <c r="AR63" s="60" t="s">
        <v>132</v>
      </c>
      <c r="AS63" s="75"/>
      <c r="AT63" s="59">
        <f t="shared" si="40"/>
        <v>13.639999999999999</v>
      </c>
      <c r="AU63" s="59">
        <f t="shared" si="41"/>
        <v>0</v>
      </c>
      <c r="AV63" s="72">
        <f>IF(C63="",0,(0.5*(_ML1*LPM)+0.5*(_ML1*HB)+0.66*(P*PR)+0.66*(_ML2*RDM)+0.66*(E*ER))*VLOOKUP(BATT,'Look Ups'!$N$3:$O$4,2,0))</f>
        <v>51.350583999999998</v>
      </c>
      <c r="AW63" s="73"/>
      <c r="AX63" s="74"/>
      <c r="AY63" s="71">
        <v>13.62</v>
      </c>
      <c r="AZ63" s="60">
        <v>4.82</v>
      </c>
      <c r="BA63" s="60">
        <v>5.4</v>
      </c>
      <c r="BB63" s="60">
        <v>0.27</v>
      </c>
      <c r="BC63" s="60">
        <v>12.1</v>
      </c>
      <c r="BD63" s="60">
        <v>12.1</v>
      </c>
      <c r="BE63" s="60"/>
      <c r="BF63" s="60">
        <v>-0.31</v>
      </c>
      <c r="BG63" s="60">
        <v>0.02</v>
      </c>
      <c r="BH63" s="75"/>
      <c r="BI63" s="72">
        <f t="shared" si="42"/>
        <v>31.490603999999994</v>
      </c>
      <c r="BJ63" s="76"/>
      <c r="BK63" s="77"/>
      <c r="BL63" s="78"/>
      <c r="BM63" s="78"/>
      <c r="BN63" s="77"/>
      <c r="BO63" s="78"/>
      <c r="BP63" s="78"/>
      <c r="BQ63" s="79">
        <f t="shared" si="43"/>
        <v>0</v>
      </c>
      <c r="BR63" s="80"/>
      <c r="BS63" s="77"/>
      <c r="BT63" s="77"/>
      <c r="BU63" s="77"/>
      <c r="BV63" s="77"/>
      <c r="BW63" s="77"/>
      <c r="BX63" s="77"/>
      <c r="BY63" s="72">
        <f t="shared" si="44"/>
        <v>0</v>
      </c>
      <c r="BZ63" s="73">
        <v>9.6999999999999993</v>
      </c>
      <c r="CA63" s="60">
        <v>17.329999999999998</v>
      </c>
      <c r="CB63" s="60">
        <v>16.100000000000001</v>
      </c>
      <c r="CC63" s="60">
        <v>9.08</v>
      </c>
      <c r="CD63" s="65">
        <f t="shared" si="45"/>
        <v>93.608247422680421</v>
      </c>
      <c r="CE63" s="60"/>
      <c r="CF63" s="79">
        <f t="shared" si="46"/>
        <v>128.20405</v>
      </c>
      <c r="CG63" s="71">
        <v>8.15</v>
      </c>
      <c r="CH63" s="60">
        <v>14.68</v>
      </c>
      <c r="CI63" s="60">
        <v>12.64</v>
      </c>
      <c r="CJ63" s="60">
        <v>4.3099999999999996</v>
      </c>
      <c r="CK63" s="59">
        <f t="shared" si="47"/>
        <v>52.883435582822081</v>
      </c>
      <c r="CL63" s="75"/>
      <c r="CM63" s="72">
        <f t="shared" si="48"/>
        <v>57.804566666666666</v>
      </c>
      <c r="CN63" s="81">
        <f t="shared" si="49"/>
        <v>1</v>
      </c>
      <c r="CO63" s="59">
        <f t="shared" si="50"/>
        <v>51.350583999999998</v>
      </c>
      <c r="CP63" s="59">
        <f t="shared" si="51"/>
        <v>1</v>
      </c>
      <c r="CQ63" s="59">
        <f t="shared" si="52"/>
        <v>31.490603999999994</v>
      </c>
      <c r="CR63" s="59">
        <f>IF(AV63&gt;0,'Look Ups'!$L$3,0)</f>
        <v>1</v>
      </c>
      <c r="CS63" s="59">
        <f t="shared" si="68"/>
        <v>0</v>
      </c>
      <c r="CT63" s="59">
        <f t="shared" si="69"/>
        <v>0</v>
      </c>
      <c r="CU63" s="59">
        <f t="shared" si="70"/>
        <v>0</v>
      </c>
      <c r="CV63" s="79">
        <f t="shared" si="71"/>
        <v>0</v>
      </c>
      <c r="CW63" s="82" t="str">
        <f t="shared" si="57"/>
        <v>valid</v>
      </c>
      <c r="CX63" s="65" t="str">
        <f t="shared" si="58"/>
        <v>valid</v>
      </c>
      <c r="CY63" s="66" t="str">
        <f t="shared" si="59"/>
        <v>MGScrSp</v>
      </c>
      <c r="CZ63" s="81">
        <f t="shared" si="60"/>
        <v>82.841187999999988</v>
      </c>
      <c r="DA63" s="59">
        <f t="shared" si="61"/>
        <v>29.0140338</v>
      </c>
      <c r="DB63" s="59">
        <f t="shared" si="62"/>
        <v>9.2098869333333351</v>
      </c>
      <c r="DC63" s="59">
        <f t="shared" si="63"/>
        <v>28.530466570000002</v>
      </c>
      <c r="DD63" s="59">
        <f t="shared" si="64"/>
        <v>1.4472679466666669</v>
      </c>
      <c r="DE63" s="79">
        <f t="shared" si="65"/>
        <v>84.986065839999995</v>
      </c>
      <c r="DF63" s="83">
        <f t="shared" si="66"/>
        <v>112.81892251666666</v>
      </c>
      <c r="DG63" s="412"/>
    </row>
    <row r="64" spans="2:111" ht="17.25" customHeight="1" x14ac:dyDescent="0.25">
      <c r="B64" s="416"/>
      <c r="C64" s="414" t="s">
        <v>291</v>
      </c>
      <c r="D64" s="84"/>
      <c r="E64" s="49" t="s">
        <v>292</v>
      </c>
      <c r="F64" s="415">
        <f t="shared" si="35"/>
        <v>0.76646317409921538</v>
      </c>
      <c r="G64" s="415" t="str">
        <f t="shared" ca="1" si="36"/>
        <v>Yes</v>
      </c>
      <c r="H64" s="51" t="str">
        <f t="shared" si="37"/>
        <v>Main - Genoa - Screacher - Spinnaker</v>
      </c>
      <c r="I64" s="52">
        <v>41614</v>
      </c>
      <c r="J64" s="52">
        <v>42020</v>
      </c>
      <c r="K64" s="53" t="s">
        <v>248</v>
      </c>
      <c r="L64" s="53" t="s">
        <v>137</v>
      </c>
      <c r="M64" s="54"/>
      <c r="N64" s="75" t="s">
        <v>149</v>
      </c>
      <c r="O64" s="75"/>
      <c r="P64" s="85"/>
      <c r="Q64" s="57">
        <v>13.2</v>
      </c>
      <c r="R64" s="58"/>
      <c r="S64" s="59">
        <f t="shared" si="34"/>
        <v>0.33</v>
      </c>
      <c r="T64" s="60">
        <v>0.30000000000000004</v>
      </c>
      <c r="U64" s="60"/>
      <c r="V64" s="61">
        <f t="shared" si="67"/>
        <v>12.899999999999999</v>
      </c>
      <c r="W64" s="62">
        <f>IF(RL&gt;0,IF(RL&gt;'Look Ups'!R$7,'Look Ups'!R$8,('Look Ups'!R$3*RL^3+'Look Ups'!R$4*RL^2+'Look Ups'!R$5*RL+'Look Ups'!R$6)),0)</f>
        <v>0.3</v>
      </c>
      <c r="X64" s="63">
        <f>6830-62</f>
        <v>6768</v>
      </c>
      <c r="Y64" s="64"/>
      <c r="Z64" s="64">
        <v>435</v>
      </c>
      <c r="AA64" s="64"/>
      <c r="AB64" s="65">
        <f t="shared" si="38"/>
        <v>6768</v>
      </c>
      <c r="AC64" s="66">
        <f t="shared" si="39"/>
        <v>7203</v>
      </c>
      <c r="AD64" s="67" t="s">
        <v>129</v>
      </c>
      <c r="AE64" s="68" t="s">
        <v>130</v>
      </c>
      <c r="AF64" s="69" t="s">
        <v>131</v>
      </c>
      <c r="AG64" s="70">
        <f>IF(C64="",0,VLOOKUP(AD64,'Look Ups'!$B$3:$C$6,2,0)*VLOOKUP(AE64,'Look Ups'!$E$3:$F$5,2,0)*VLOOKUP(AF64,'Look Ups'!$H$3:$I$7,2,0))</f>
        <v>1</v>
      </c>
      <c r="AH64" s="71">
        <v>16.149999999999999</v>
      </c>
      <c r="AI64" s="60">
        <v>16.149999999999999</v>
      </c>
      <c r="AJ64" s="60">
        <v>4.87</v>
      </c>
      <c r="AK64" s="60">
        <v>0.2</v>
      </c>
      <c r="AL64" s="60">
        <v>2</v>
      </c>
      <c r="AM64" s="60">
        <v>16</v>
      </c>
      <c r="AN64" s="60">
        <v>0.15</v>
      </c>
      <c r="AO64" s="60">
        <v>4.96</v>
      </c>
      <c r="AP64" s="60">
        <v>0.1</v>
      </c>
      <c r="AQ64" s="60"/>
      <c r="AR64" s="60" t="s">
        <v>132</v>
      </c>
      <c r="AS64" s="75"/>
      <c r="AT64" s="59">
        <f t="shared" si="40"/>
        <v>16.100000000000001</v>
      </c>
      <c r="AU64" s="59">
        <f t="shared" si="41"/>
        <v>0</v>
      </c>
      <c r="AV64" s="72">
        <f>IF(C64="",0,(0.5*(_ML1*LPM)+0.5*(_ML1*HB)+0.66*(P*PR)+0.66*(_ML2*RDM)+0.66*(E*ER))*VLOOKUP(BATT,'Look Ups'!$N$3:$O$4,2,0))</f>
        <v>64.169610000000006</v>
      </c>
      <c r="AW64" s="73"/>
      <c r="AX64" s="74"/>
      <c r="AY64" s="71">
        <v>14.2</v>
      </c>
      <c r="AZ64" s="60">
        <v>5.9</v>
      </c>
      <c r="BA64" s="60">
        <v>6.7</v>
      </c>
      <c r="BB64" s="60">
        <v>0.17</v>
      </c>
      <c r="BC64" s="60">
        <v>12.53</v>
      </c>
      <c r="BD64" s="60"/>
      <c r="BE64" s="60"/>
      <c r="BF64" s="60">
        <v>-0.45</v>
      </c>
      <c r="BG64" s="60">
        <v>-0.05</v>
      </c>
      <c r="BH64" s="75"/>
      <c r="BI64" s="72">
        <f t="shared" si="42"/>
        <v>38.451729999999998</v>
      </c>
      <c r="BJ64" s="76"/>
      <c r="BK64" s="77"/>
      <c r="BL64" s="78"/>
      <c r="BM64" s="78"/>
      <c r="BN64" s="77"/>
      <c r="BO64" s="78"/>
      <c r="BP64" s="78"/>
      <c r="BQ64" s="79"/>
      <c r="BR64" s="80"/>
      <c r="BS64" s="77"/>
      <c r="BT64" s="77"/>
      <c r="BU64" s="77"/>
      <c r="BV64" s="77"/>
      <c r="BW64" s="77"/>
      <c r="BX64" s="77"/>
      <c r="BY64" s="72"/>
      <c r="BZ64" s="73">
        <v>8.3000000000000007</v>
      </c>
      <c r="CA64" s="60">
        <v>17.5</v>
      </c>
      <c r="CB64" s="60">
        <v>15</v>
      </c>
      <c r="CC64" s="60">
        <v>7.65</v>
      </c>
      <c r="CD64" s="65">
        <f t="shared" si="45"/>
        <v>92.168674698795172</v>
      </c>
      <c r="CE64" s="60"/>
      <c r="CF64" s="79">
        <f t="shared" si="46"/>
        <v>105.35416666666666</v>
      </c>
      <c r="CG64" s="71">
        <v>7.76</v>
      </c>
      <c r="CH64" s="60">
        <v>16.07</v>
      </c>
      <c r="CI64" s="60">
        <v>13.3</v>
      </c>
      <c r="CJ64" s="60">
        <v>3.92</v>
      </c>
      <c r="CK64" s="59">
        <f t="shared" si="47"/>
        <v>50.515463917525771</v>
      </c>
      <c r="CL64" s="75"/>
      <c r="CM64" s="72">
        <f t="shared" si="48"/>
        <v>57.369399999999999</v>
      </c>
      <c r="CN64" s="81">
        <f t="shared" si="49"/>
        <v>1</v>
      </c>
      <c r="CO64" s="59">
        <f t="shared" si="50"/>
        <v>64.169610000000006</v>
      </c>
      <c r="CP64" s="59">
        <f t="shared" si="51"/>
        <v>1</v>
      </c>
      <c r="CQ64" s="59">
        <f t="shared" si="52"/>
        <v>38.451729999999998</v>
      </c>
      <c r="CR64" s="59">
        <f>IF(AV64&gt;0,'Look Ups'!$L$3,0)</f>
        <v>1</v>
      </c>
      <c r="CS64" s="59">
        <f t="shared" si="68"/>
        <v>0</v>
      </c>
      <c r="CT64" s="59">
        <f t="shared" si="69"/>
        <v>0</v>
      </c>
      <c r="CU64" s="59">
        <f t="shared" si="70"/>
        <v>0</v>
      </c>
      <c r="CV64" s="79">
        <f t="shared" si="71"/>
        <v>0</v>
      </c>
      <c r="CW64" s="82" t="str">
        <f t="shared" si="57"/>
        <v>valid</v>
      </c>
      <c r="CX64" s="65" t="str">
        <f t="shared" si="58"/>
        <v>valid</v>
      </c>
      <c r="CY64" s="66" t="str">
        <f t="shared" si="59"/>
        <v>MGScrSp</v>
      </c>
      <c r="CZ64" s="81">
        <f t="shared" si="60"/>
        <v>102.62134</v>
      </c>
      <c r="DA64" s="59">
        <f t="shared" si="61"/>
        <v>20.070730999999999</v>
      </c>
      <c r="DB64" s="59">
        <f t="shared" si="62"/>
        <v>6.6211845</v>
      </c>
      <c r="DC64" s="59">
        <f t="shared" si="63"/>
        <v>19.736218816666664</v>
      </c>
      <c r="DD64" s="59">
        <f t="shared" si="64"/>
        <v>1.0404718500000001</v>
      </c>
      <c r="DE64" s="79">
        <f t="shared" si="65"/>
        <v>105.39887104</v>
      </c>
      <c r="DF64" s="83">
        <f t="shared" si="66"/>
        <v>123.39803066666667</v>
      </c>
      <c r="DG64" s="412"/>
    </row>
    <row r="65" spans="1:255" ht="16.5" customHeight="1" x14ac:dyDescent="0.25">
      <c r="B65" s="416"/>
      <c r="C65" s="414" t="s">
        <v>1064</v>
      </c>
      <c r="D65" s="84" t="s">
        <v>607</v>
      </c>
      <c r="E65" s="49" t="s">
        <v>1065</v>
      </c>
      <c r="F65" s="415">
        <f t="shared" si="35"/>
        <v>0.73346838608149756</v>
      </c>
      <c r="G65" s="415" t="str">
        <f t="shared" ca="1" si="36"/>
        <v>Yes</v>
      </c>
      <c r="H65" s="51" t="str">
        <f t="shared" si="37"/>
        <v>Main - Genoa - Spinnaker</v>
      </c>
      <c r="I65" s="52">
        <v>44418</v>
      </c>
      <c r="J65" s="52">
        <v>44419</v>
      </c>
      <c r="K65" s="53" t="s">
        <v>174</v>
      </c>
      <c r="L65" s="53" t="s">
        <v>614</v>
      </c>
      <c r="M65" s="54"/>
      <c r="N65" s="75" t="s">
        <v>149</v>
      </c>
      <c r="O65" s="75" t="s">
        <v>607</v>
      </c>
      <c r="P65" s="85"/>
      <c r="Q65" s="57">
        <v>8.2799999999999994</v>
      </c>
      <c r="R65" s="58"/>
      <c r="S65" s="59">
        <f t="shared" si="34"/>
        <v>0.20699999999999999</v>
      </c>
      <c r="T65" s="60">
        <v>0.04</v>
      </c>
      <c r="U65" s="60"/>
      <c r="V65" s="61">
        <f t="shared" si="67"/>
        <v>8.24</v>
      </c>
      <c r="W65" s="62">
        <f>IF(RL&gt;0,IF(RL&gt;'Look Ups'!R$7,'Look Ups'!R$8,('Look Ups'!R$3*RL^3+'Look Ups'!R$4*RL^2+'Look Ups'!R$5*RL+'Look Ups'!R$6)),0)</f>
        <v>0.29458607539200005</v>
      </c>
      <c r="X65" s="63">
        <v>2040</v>
      </c>
      <c r="Y65" s="64"/>
      <c r="Z65" s="64"/>
      <c r="AA65" s="64"/>
      <c r="AB65" s="65">
        <f t="shared" si="38"/>
        <v>2040</v>
      </c>
      <c r="AC65" s="66">
        <f t="shared" si="39"/>
        <v>2040</v>
      </c>
      <c r="AD65" s="67" t="s">
        <v>129</v>
      </c>
      <c r="AE65" s="68" t="s">
        <v>130</v>
      </c>
      <c r="AF65" s="69" t="s">
        <v>131</v>
      </c>
      <c r="AG65" s="70">
        <f>IF(C65="",0,VLOOKUP(AD65,'Look Ups'!$B$3:$C$6,2,0)*VLOOKUP(AE65,'Look Ups'!$E$3:$F$5,2,0)*VLOOKUP(AF65,'Look Ups'!$H$3:$I$7,2,0))</f>
        <v>1</v>
      </c>
      <c r="AH65" s="71">
        <v>11.24</v>
      </c>
      <c r="AI65" s="60">
        <v>11.03</v>
      </c>
      <c r="AJ65" s="60">
        <v>3.4</v>
      </c>
      <c r="AK65" s="60">
        <v>1.17</v>
      </c>
      <c r="AL65" s="60">
        <v>0.63</v>
      </c>
      <c r="AM65" s="60">
        <v>11.15</v>
      </c>
      <c r="AN65" s="60">
        <v>0.16</v>
      </c>
      <c r="AO65" s="60">
        <v>3.44</v>
      </c>
      <c r="AP65" s="60">
        <v>0</v>
      </c>
      <c r="AQ65" s="60"/>
      <c r="AR65" s="60" t="s">
        <v>132</v>
      </c>
      <c r="AS65" s="75"/>
      <c r="AT65" s="59">
        <f t="shared" si="40"/>
        <v>11.15</v>
      </c>
      <c r="AU65" s="59">
        <f t="shared" si="41"/>
        <v>0</v>
      </c>
      <c r="AV65" s="72">
        <f>IF(C65="",0,(0.5*(_ML1*LPM)+0.5*(_ML1*HB)+0.66*(P*PR)+0.66*(_ML2*RDM)+0.66*(E*ER))*VLOOKUP(BATT,'Look Ups'!$N$3:$O$4,2,0))</f>
        <v>31.447113999999999</v>
      </c>
      <c r="AW65" s="73"/>
      <c r="AX65" s="74"/>
      <c r="AY65" s="71">
        <v>9.3000000000000007</v>
      </c>
      <c r="AZ65" s="60">
        <v>3.24</v>
      </c>
      <c r="BA65" s="60">
        <v>3.5</v>
      </c>
      <c r="BB65" s="60">
        <v>0.05</v>
      </c>
      <c r="BC65" s="60">
        <v>8.43</v>
      </c>
      <c r="BD65" s="60"/>
      <c r="BE65" s="60"/>
      <c r="BF65" s="60">
        <v>-0.06</v>
      </c>
      <c r="BG65" s="60">
        <v>0.1</v>
      </c>
      <c r="BH65" s="75"/>
      <c r="BI65" s="72">
        <f t="shared" si="42"/>
        <v>15.461472000000002</v>
      </c>
      <c r="BJ65" s="76"/>
      <c r="BK65" s="77"/>
      <c r="BL65" s="78"/>
      <c r="BM65" s="78"/>
      <c r="BN65" s="77"/>
      <c r="BO65" s="78"/>
      <c r="BP65" s="78"/>
      <c r="BQ65" s="79">
        <f t="shared" ref="BQ65:BQ72" si="72">(0.5*LLS*LPS)+(0.66*LLS*LLRS)+(0.66*LS*LRS)+(0.66*FS*FRS)</f>
        <v>0</v>
      </c>
      <c r="BR65" s="80"/>
      <c r="BS65" s="77"/>
      <c r="BT65" s="77"/>
      <c r="BU65" s="77"/>
      <c r="BV65" s="77"/>
      <c r="BW65" s="77"/>
      <c r="BX65" s="77"/>
      <c r="BY65" s="72">
        <f t="shared" ref="BY65:BY72" si="73">(0.5*LLD*LPD)+(0.66*LLD*LLRD)+(0.66*LCHD*LRD)+(0.66*FD*FRD)</f>
        <v>0</v>
      </c>
      <c r="BZ65" s="73">
        <v>6.31</v>
      </c>
      <c r="CA65" s="60">
        <v>11.61</v>
      </c>
      <c r="CB65" s="60">
        <v>9.6999999999999993</v>
      </c>
      <c r="CC65" s="60">
        <v>5.39</v>
      </c>
      <c r="CD65" s="65">
        <f t="shared" si="45"/>
        <v>85.419968304278925</v>
      </c>
      <c r="CE65" s="60"/>
      <c r="CF65" s="79">
        <f t="shared" si="46"/>
        <v>49.492474999999992</v>
      </c>
      <c r="CG65" s="71"/>
      <c r="CH65" s="60"/>
      <c r="CI65" s="60"/>
      <c r="CJ65" s="60"/>
      <c r="CK65" s="59" t="str">
        <f t="shared" si="47"/>
        <v/>
      </c>
      <c r="CL65" s="75"/>
      <c r="CM65" s="72">
        <f t="shared" si="48"/>
        <v>0</v>
      </c>
      <c r="CN65" s="81">
        <f t="shared" si="49"/>
        <v>1</v>
      </c>
      <c r="CO65" s="59">
        <f t="shared" si="50"/>
        <v>31.447113999999999</v>
      </c>
      <c r="CP65" s="59">
        <f t="shared" si="51"/>
        <v>1</v>
      </c>
      <c r="CQ65" s="59">
        <f t="shared" si="52"/>
        <v>15.461472000000002</v>
      </c>
      <c r="CR65" s="59">
        <f>IF(AV65&gt;0,'Look Ups'!$L$3,0)</f>
        <v>1</v>
      </c>
      <c r="CS65" s="59">
        <f t="shared" si="68"/>
        <v>0</v>
      </c>
      <c r="CT65" s="59">
        <f t="shared" si="69"/>
        <v>0</v>
      </c>
      <c r="CU65" s="59">
        <f t="shared" si="70"/>
        <v>0</v>
      </c>
      <c r="CV65" s="79">
        <f t="shared" si="71"/>
        <v>0</v>
      </c>
      <c r="CW65" s="82" t="str">
        <f t="shared" si="57"/>
        <v>-</v>
      </c>
      <c r="CX65" s="65" t="str">
        <f t="shared" si="58"/>
        <v>valid</v>
      </c>
      <c r="CY65" s="66" t="str">
        <f t="shared" si="59"/>
        <v>MGSp</v>
      </c>
      <c r="CZ65" s="81">
        <f t="shared" si="60"/>
        <v>46.908586</v>
      </c>
      <c r="DA65" s="59">
        <f t="shared" si="61"/>
        <v>10.209300899999997</v>
      </c>
      <c r="DB65" s="59">
        <f t="shared" si="62"/>
        <v>0</v>
      </c>
      <c r="DC65" s="59">
        <f t="shared" si="63"/>
        <v>10.039145884999996</v>
      </c>
      <c r="DD65" s="59">
        <f t="shared" si="64"/>
        <v>0</v>
      </c>
      <c r="DE65" s="79">
        <f t="shared" si="65"/>
        <v>48.635035336000001</v>
      </c>
      <c r="DF65" s="83">
        <f t="shared" si="66"/>
        <v>57.117886899999995</v>
      </c>
      <c r="DG65" s="412"/>
    </row>
    <row r="66" spans="1:255" ht="16.5" customHeight="1" x14ac:dyDescent="0.3">
      <c r="B66" s="414"/>
      <c r="C66" s="414" t="s">
        <v>293</v>
      </c>
      <c r="D66" s="84" t="s">
        <v>294</v>
      </c>
      <c r="E66" s="49" t="s">
        <v>295</v>
      </c>
      <c r="F66" s="415">
        <f t="shared" si="35"/>
        <v>0.80678246491269057</v>
      </c>
      <c r="G66" s="415" t="str">
        <f t="shared" ca="1" si="36"/>
        <v>Yes</v>
      </c>
      <c r="H66" s="51" t="str">
        <f t="shared" si="37"/>
        <v>Main - Genoa - Screacher - Spinnaker</v>
      </c>
      <c r="I66" s="52">
        <v>44115</v>
      </c>
      <c r="J66" s="52">
        <v>44115</v>
      </c>
      <c r="K66" s="53" t="s">
        <v>1035</v>
      </c>
      <c r="L66" s="53" t="s">
        <v>614</v>
      </c>
      <c r="M66" s="54"/>
      <c r="N66" s="75" t="s">
        <v>149</v>
      </c>
      <c r="O66" s="75"/>
      <c r="P66" s="85">
        <v>7</v>
      </c>
      <c r="Q66" s="57">
        <v>12.81</v>
      </c>
      <c r="R66" s="58"/>
      <c r="S66" s="59">
        <f t="shared" si="34"/>
        <v>0.32025000000000003</v>
      </c>
      <c r="T66" s="60"/>
      <c r="U66" s="60"/>
      <c r="V66" s="61">
        <f t="shared" si="67"/>
        <v>12.81</v>
      </c>
      <c r="W66" s="62">
        <f>IF(RL&gt;0,IF(RL&gt;'Look Ups'!R$7,'Look Ups'!R$8,('Look Ups'!R$3*RL^3+'Look Ups'!R$4*RL^2+'Look Ups'!R$5*RL+'Look Ups'!R$6)),0)</f>
        <v>0.3</v>
      </c>
      <c r="X66" s="63">
        <v>5392</v>
      </c>
      <c r="Y66" s="64"/>
      <c r="Z66" s="422"/>
      <c r="AA66" s="422"/>
      <c r="AB66" s="65">
        <f t="shared" si="38"/>
        <v>5392</v>
      </c>
      <c r="AC66" s="66">
        <f t="shared" si="39"/>
        <v>5392</v>
      </c>
      <c r="AD66" s="67" t="s">
        <v>129</v>
      </c>
      <c r="AE66" s="68" t="s">
        <v>130</v>
      </c>
      <c r="AF66" s="69" t="s">
        <v>131</v>
      </c>
      <c r="AG66" s="70">
        <f>IF(C66="",0,VLOOKUP(AD66,'Look Ups'!$B$3:$C$6,2,0)*VLOOKUP(AE66,'Look Ups'!$E$3:$F$5,2,0)*VLOOKUP(AF66,'Look Ups'!$H$3:$I$7,2,0))</f>
        <v>1</v>
      </c>
      <c r="AH66" s="71">
        <v>14.33</v>
      </c>
      <c r="AI66" s="60">
        <v>14</v>
      </c>
      <c r="AJ66" s="60">
        <v>4.7</v>
      </c>
      <c r="AK66" s="60">
        <v>1.4450000000000001</v>
      </c>
      <c r="AL66" s="60">
        <v>0.215</v>
      </c>
      <c r="AM66" s="60">
        <v>13.98</v>
      </c>
      <c r="AN66" s="60">
        <v>0.215</v>
      </c>
      <c r="AO66" s="60">
        <v>4.8449999999999998</v>
      </c>
      <c r="AP66" s="60">
        <v>0.04</v>
      </c>
      <c r="AQ66" s="60"/>
      <c r="AR66" s="60" t="s">
        <v>132</v>
      </c>
      <c r="AS66" s="75"/>
      <c r="AT66" s="59">
        <f t="shared" si="40"/>
        <v>14.02</v>
      </c>
      <c r="AU66" s="59">
        <f t="shared" si="41"/>
        <v>0</v>
      </c>
      <c r="AV66" s="72">
        <f>IF(C66="",0,(0.5*(_ML1*LPM)+0.5*(_ML1*HB)+0.66*(P*PR)+0.66*(_ML2*RDM)+0.66*(E*ER))*VLOOKUP(BATT,'Look Ups'!$N$3:$O$4,2,0))</f>
        <v>48.127195</v>
      </c>
      <c r="AW66" s="73"/>
      <c r="AX66" s="74"/>
      <c r="AY66" s="71">
        <v>14</v>
      </c>
      <c r="AZ66" s="60">
        <v>5.2649999999999997</v>
      </c>
      <c r="BA66" s="60">
        <v>6.31</v>
      </c>
      <c r="BB66" s="60">
        <v>0.13</v>
      </c>
      <c r="BC66" s="60">
        <v>11.7</v>
      </c>
      <c r="BD66" s="60">
        <v>0</v>
      </c>
      <c r="BE66" s="60">
        <v>0</v>
      </c>
      <c r="BF66" s="60">
        <v>-0.34</v>
      </c>
      <c r="BG66" s="60">
        <v>-9.5000000000000001E-2</v>
      </c>
      <c r="BH66" s="75"/>
      <c r="BI66" s="72">
        <f t="shared" si="42"/>
        <v>33.893117999999994</v>
      </c>
      <c r="BJ66" s="76"/>
      <c r="BK66" s="77"/>
      <c r="BL66" s="78"/>
      <c r="BM66" s="78"/>
      <c r="BN66" s="77"/>
      <c r="BO66" s="78"/>
      <c r="BP66" s="78"/>
      <c r="BQ66" s="79">
        <f t="shared" si="72"/>
        <v>0</v>
      </c>
      <c r="BR66" s="80"/>
      <c r="BS66" s="77"/>
      <c r="BT66" s="77"/>
      <c r="BU66" s="77"/>
      <c r="BV66" s="77"/>
      <c r="BW66" s="77"/>
      <c r="BX66" s="77"/>
      <c r="BY66" s="72">
        <f t="shared" si="73"/>
        <v>0</v>
      </c>
      <c r="BZ66" s="73">
        <v>11</v>
      </c>
      <c r="CA66" s="60">
        <v>15.48</v>
      </c>
      <c r="CB66" s="60">
        <v>15.48</v>
      </c>
      <c r="CC66" s="60">
        <v>9.83</v>
      </c>
      <c r="CD66" s="65">
        <f t="shared" si="45"/>
        <v>89.363636363636374</v>
      </c>
      <c r="CE66" s="60"/>
      <c r="CF66" s="79">
        <f t="shared" si="46"/>
        <v>129.82560000000001</v>
      </c>
      <c r="CG66" s="71">
        <v>8.02</v>
      </c>
      <c r="CH66" s="60">
        <v>14.82</v>
      </c>
      <c r="CI66" s="60">
        <v>11.62</v>
      </c>
      <c r="CJ66" s="60">
        <v>4.165</v>
      </c>
      <c r="CK66" s="59">
        <f t="shared" si="47"/>
        <v>51.932668329177055</v>
      </c>
      <c r="CL66" s="75"/>
      <c r="CM66" s="72">
        <f t="shared" si="48"/>
        <v>54.378266666666661</v>
      </c>
      <c r="CN66" s="81">
        <f t="shared" si="49"/>
        <v>1</v>
      </c>
      <c r="CO66" s="59">
        <f t="shared" si="50"/>
        <v>48.127195</v>
      </c>
      <c r="CP66" s="59">
        <f t="shared" si="51"/>
        <v>1</v>
      </c>
      <c r="CQ66" s="59">
        <f t="shared" si="52"/>
        <v>33.893117999999994</v>
      </c>
      <c r="CR66" s="59">
        <f>IF(AV66&gt;0,'Look Ups'!$L$3,0)</f>
        <v>1</v>
      </c>
      <c r="CS66" s="59">
        <f t="shared" si="68"/>
        <v>0</v>
      </c>
      <c r="CT66" s="59">
        <f t="shared" si="69"/>
        <v>0</v>
      </c>
      <c r="CU66" s="59">
        <f t="shared" si="70"/>
        <v>0</v>
      </c>
      <c r="CV66" s="79">
        <f t="shared" si="71"/>
        <v>0</v>
      </c>
      <c r="CW66" s="82" t="str">
        <f t="shared" si="57"/>
        <v>valid</v>
      </c>
      <c r="CX66" s="65" t="str">
        <f t="shared" si="58"/>
        <v>valid</v>
      </c>
      <c r="CY66" s="66" t="str">
        <f t="shared" si="59"/>
        <v>MGScrSp</v>
      </c>
      <c r="CZ66" s="81">
        <f t="shared" si="60"/>
        <v>82.020312999999987</v>
      </c>
      <c r="DA66" s="59">
        <f t="shared" si="61"/>
        <v>28.779744600000004</v>
      </c>
      <c r="DB66" s="59">
        <f t="shared" si="62"/>
        <v>7.1698020333333332</v>
      </c>
      <c r="DC66" s="59">
        <f t="shared" si="63"/>
        <v>28.300082190000005</v>
      </c>
      <c r="DD66" s="59">
        <f t="shared" si="64"/>
        <v>1.1266831766666667</v>
      </c>
      <c r="DE66" s="79">
        <f t="shared" si="65"/>
        <v>83.557593315999995</v>
      </c>
      <c r="DF66" s="83">
        <f t="shared" si="66"/>
        <v>111.44707836666666</v>
      </c>
      <c r="DG66" s="412"/>
    </row>
    <row r="67" spans="1:255" ht="16.5" customHeight="1" x14ac:dyDescent="0.25">
      <c r="B67" s="414"/>
      <c r="C67" s="414" t="s">
        <v>872</v>
      </c>
      <c r="D67" s="48" t="s">
        <v>264</v>
      </c>
      <c r="E67" s="49" t="s">
        <v>873</v>
      </c>
      <c r="F67" s="415">
        <f t="shared" si="35"/>
        <v>0.95822441441716888</v>
      </c>
      <c r="G67" s="415" t="str">
        <f t="shared" ca="1" si="36"/>
        <v>Yes</v>
      </c>
      <c r="H67" s="51" t="str">
        <f t="shared" si="37"/>
        <v>Main - Genoa - Screacher - Spinnaker</v>
      </c>
      <c r="I67" s="52">
        <v>42593</v>
      </c>
      <c r="J67" s="52">
        <v>42593</v>
      </c>
      <c r="K67" s="53" t="s">
        <v>171</v>
      </c>
      <c r="L67" s="53" t="s">
        <v>137</v>
      </c>
      <c r="M67" s="54"/>
      <c r="N67" s="55" t="s">
        <v>149</v>
      </c>
      <c r="O67" s="55"/>
      <c r="P67" s="56"/>
      <c r="Q67" s="57">
        <v>9.0500000000000007</v>
      </c>
      <c r="R67" s="58"/>
      <c r="S67" s="59">
        <f t="shared" si="34"/>
        <v>0.22625000000000003</v>
      </c>
      <c r="T67" s="60"/>
      <c r="U67" s="60"/>
      <c r="V67" s="61">
        <f t="shared" si="67"/>
        <v>9.0500000000000007</v>
      </c>
      <c r="W67" s="62">
        <f>IF(RL&gt;0,IF(RL&gt;'Look Ups'!R$7,'Look Ups'!R$8,('Look Ups'!R$3*RL^3+'Look Ups'!R$4*RL^2+'Look Ups'!R$5*RL+'Look Ups'!R$6)),0)</f>
        <v>0.29677168162500001</v>
      </c>
      <c r="X67" s="63">
        <v>1175</v>
      </c>
      <c r="Y67" s="64"/>
      <c r="Z67" s="64"/>
      <c r="AA67" s="64"/>
      <c r="AB67" s="65">
        <f t="shared" si="38"/>
        <v>1175</v>
      </c>
      <c r="AC67" s="66">
        <f t="shared" si="39"/>
        <v>1175</v>
      </c>
      <c r="AD67" s="67" t="s">
        <v>129</v>
      </c>
      <c r="AE67" s="68" t="s">
        <v>130</v>
      </c>
      <c r="AF67" s="69" t="s">
        <v>131</v>
      </c>
      <c r="AG67" s="70">
        <f>IF(C67="",0,VLOOKUP(AD67,'Look Ups'!$B$3:$C$6,2,0)*VLOOKUP(AE67,'Look Ups'!$E$3:$F$5,2,0)*VLOOKUP(AF67,'Look Ups'!$H$3:$I$7,2,0))</f>
        <v>1</v>
      </c>
      <c r="AH67" s="71">
        <v>12.6</v>
      </c>
      <c r="AI67" s="60">
        <v>12.33</v>
      </c>
      <c r="AJ67" s="60">
        <v>3.88</v>
      </c>
      <c r="AK67" s="60">
        <v>1.43</v>
      </c>
      <c r="AL67" s="60">
        <v>0.3</v>
      </c>
      <c r="AM67" s="60">
        <v>12.42</v>
      </c>
      <c r="AN67" s="60">
        <v>0.21</v>
      </c>
      <c r="AO67" s="60">
        <v>4</v>
      </c>
      <c r="AP67" s="60">
        <v>0.05</v>
      </c>
      <c r="AQ67" s="60"/>
      <c r="AR67" s="60" t="s">
        <v>132</v>
      </c>
      <c r="AS67" s="75"/>
      <c r="AT67" s="59">
        <f t="shared" si="40"/>
        <v>12.47</v>
      </c>
      <c r="AU67" s="59">
        <f t="shared" si="41"/>
        <v>0</v>
      </c>
      <c r="AV67" s="72">
        <f>IF(C67="",0,(0.5*(_ML1*LPM)+0.5*(_ML1*HB)+0.66*(P*PR)+0.66*(_ML2*RDM)+0.66*(E*ER))*VLOOKUP(BATT,'Look Ups'!$N$3:$O$4,2,0))</f>
        <v>37.747751999999991</v>
      </c>
      <c r="AW67" s="73"/>
      <c r="AX67" s="74"/>
      <c r="AY67" s="71">
        <v>10.210000000000001</v>
      </c>
      <c r="AZ67" s="60">
        <v>2.5300000000000002</v>
      </c>
      <c r="BA67" s="60">
        <v>2.66</v>
      </c>
      <c r="BB67" s="60">
        <v>0.13</v>
      </c>
      <c r="BC67" s="60">
        <v>9.77</v>
      </c>
      <c r="BD67" s="60">
        <v>0</v>
      </c>
      <c r="BE67" s="60"/>
      <c r="BF67" s="60"/>
      <c r="BG67" s="60">
        <v>-0.01</v>
      </c>
      <c r="BH67" s="75"/>
      <c r="BI67" s="72">
        <f t="shared" si="42"/>
        <v>13.076492000000002</v>
      </c>
      <c r="BJ67" s="76"/>
      <c r="BK67" s="77"/>
      <c r="BL67" s="78"/>
      <c r="BM67" s="78"/>
      <c r="BN67" s="77"/>
      <c r="BO67" s="78"/>
      <c r="BP67" s="78"/>
      <c r="BQ67" s="79">
        <f t="shared" si="72"/>
        <v>0</v>
      </c>
      <c r="BR67" s="80"/>
      <c r="BS67" s="77"/>
      <c r="BT67" s="77"/>
      <c r="BU67" s="77"/>
      <c r="BV67" s="77"/>
      <c r="BW67" s="77"/>
      <c r="BX67" s="77"/>
      <c r="BY67" s="72">
        <f t="shared" si="73"/>
        <v>0</v>
      </c>
      <c r="BZ67" s="73">
        <v>6.86</v>
      </c>
      <c r="CA67" s="60">
        <v>14.04</v>
      </c>
      <c r="CB67" s="60">
        <v>12.36</v>
      </c>
      <c r="CC67" s="60">
        <v>5.16</v>
      </c>
      <c r="CD67" s="65">
        <f t="shared" si="45"/>
        <v>75.218658892128275</v>
      </c>
      <c r="CE67" s="60"/>
      <c r="CF67" s="79">
        <f t="shared" si="46"/>
        <v>60.499999999999993</v>
      </c>
      <c r="CG67" s="71">
        <v>4.93</v>
      </c>
      <c r="CH67" s="60">
        <v>12.02</v>
      </c>
      <c r="CI67" s="60">
        <v>10.53</v>
      </c>
      <c r="CJ67" s="60">
        <v>2.48</v>
      </c>
      <c r="CK67" s="59">
        <f t="shared" si="47"/>
        <v>50.304259634888439</v>
      </c>
      <c r="CL67" s="60"/>
      <c r="CM67" s="72">
        <f t="shared" si="48"/>
        <v>27.905624999999997</v>
      </c>
      <c r="CN67" s="81">
        <f t="shared" si="49"/>
        <v>1</v>
      </c>
      <c r="CO67" s="59">
        <f t="shared" si="50"/>
        <v>37.747751999999991</v>
      </c>
      <c r="CP67" s="59">
        <f t="shared" si="51"/>
        <v>1</v>
      </c>
      <c r="CQ67" s="59">
        <f t="shared" si="52"/>
        <v>13.076492000000002</v>
      </c>
      <c r="CR67" s="59">
        <f>IF(AV67&gt;0,'Look Ups'!$L$3,0)</f>
        <v>1</v>
      </c>
      <c r="CS67" s="59">
        <f t="shared" si="68"/>
        <v>0</v>
      </c>
      <c r="CT67" s="59">
        <f t="shared" si="69"/>
        <v>0</v>
      </c>
      <c r="CU67" s="59">
        <f t="shared" si="70"/>
        <v>0</v>
      </c>
      <c r="CV67" s="79">
        <f t="shared" si="71"/>
        <v>0</v>
      </c>
      <c r="CW67" s="82" t="str">
        <f t="shared" si="57"/>
        <v>valid</v>
      </c>
      <c r="CX67" s="65" t="str">
        <f t="shared" si="58"/>
        <v>valid</v>
      </c>
      <c r="CY67" s="66" t="str">
        <f t="shared" si="59"/>
        <v>MGScrSp</v>
      </c>
      <c r="CZ67" s="81">
        <f t="shared" si="60"/>
        <v>50.824243999999993</v>
      </c>
      <c r="DA67" s="59">
        <f t="shared" si="61"/>
        <v>14.227052399999996</v>
      </c>
      <c r="DB67" s="59">
        <f t="shared" si="62"/>
        <v>5.1901965499999978</v>
      </c>
      <c r="DC67" s="59">
        <f t="shared" si="63"/>
        <v>13.989934859999996</v>
      </c>
      <c r="DD67" s="59">
        <f t="shared" si="64"/>
        <v>0.81560231499999969</v>
      </c>
      <c r="DE67" s="79">
        <f t="shared" si="65"/>
        <v>53.488740079999992</v>
      </c>
      <c r="DF67" s="83">
        <f t="shared" si="66"/>
        <v>65.629781174999991</v>
      </c>
      <c r="DG67" s="412"/>
    </row>
    <row r="68" spans="1:255" ht="16.5" customHeight="1" x14ac:dyDescent="0.25">
      <c r="B68" s="414"/>
      <c r="C68" s="414" t="s">
        <v>301</v>
      </c>
      <c r="D68" s="48"/>
      <c r="E68" s="49" t="s">
        <v>302</v>
      </c>
      <c r="F68" s="415">
        <f t="shared" si="35"/>
        <v>0.95843786934160213</v>
      </c>
      <c r="G68" s="415" t="str">
        <f t="shared" ca="1" si="36"/>
        <v>No</v>
      </c>
      <c r="H68" s="51" t="str">
        <f t="shared" si="37"/>
        <v>Main - Genoa - Spinnaker</v>
      </c>
      <c r="I68" s="52">
        <v>39767</v>
      </c>
      <c r="J68" s="52">
        <v>40504</v>
      </c>
      <c r="K68" s="53" t="s">
        <v>303</v>
      </c>
      <c r="L68" s="53" t="s">
        <v>143</v>
      </c>
      <c r="M68" s="54"/>
      <c r="N68" s="55" t="s">
        <v>127</v>
      </c>
      <c r="O68" s="55" t="s">
        <v>138</v>
      </c>
      <c r="P68" s="86"/>
      <c r="Q68" s="57">
        <v>9.15</v>
      </c>
      <c r="R68" s="58"/>
      <c r="S68" s="59">
        <f t="shared" ref="S68:S99" si="74">IF((LOAA&gt;LOA),0.025*LOAA,0.025*LOA)</f>
        <v>0.22875000000000001</v>
      </c>
      <c r="T68" s="60">
        <v>0.1</v>
      </c>
      <c r="U68" s="60"/>
      <c r="V68" s="61">
        <f t="shared" si="67"/>
        <v>9.0500000000000007</v>
      </c>
      <c r="W68" s="62">
        <f>IF(RL&gt;0,IF(RL&gt;'Look Ups'!R$7,'Look Ups'!R$8,('Look Ups'!R$3*RL^3+'Look Ups'!R$4*RL^2+'Look Ups'!R$5*RL+'Look Ups'!R$6)),0)</f>
        <v>0.29677168162500001</v>
      </c>
      <c r="X68" s="63">
        <v>1750</v>
      </c>
      <c r="Y68" s="64"/>
      <c r="Z68" s="64"/>
      <c r="AA68" s="64"/>
      <c r="AB68" s="65">
        <f t="shared" si="38"/>
        <v>1750</v>
      </c>
      <c r="AC68" s="66">
        <f t="shared" si="39"/>
        <v>1750</v>
      </c>
      <c r="AD68" s="67" t="s">
        <v>129</v>
      </c>
      <c r="AE68" s="68" t="s">
        <v>130</v>
      </c>
      <c r="AF68" s="69" t="s">
        <v>131</v>
      </c>
      <c r="AG68" s="70">
        <f>IF(C68="",0,VLOOKUP(AD68,'Look Ups'!$B$3:$C$6,2,0)*VLOOKUP(AE68,'Look Ups'!$E$3:$F$5,2,0)*VLOOKUP(AF68,'Look Ups'!$H$3:$I$7,2,0))</f>
        <v>1</v>
      </c>
      <c r="AH68" s="71">
        <v>13.2</v>
      </c>
      <c r="AI68" s="60">
        <v>12.92</v>
      </c>
      <c r="AJ68" s="60">
        <v>3.83</v>
      </c>
      <c r="AK68" s="60">
        <v>1.25</v>
      </c>
      <c r="AL68" s="60">
        <v>0.69</v>
      </c>
      <c r="AM68" s="60">
        <v>13.03</v>
      </c>
      <c r="AN68" s="60">
        <v>0.14000000000000001</v>
      </c>
      <c r="AO68" s="60">
        <v>3.86</v>
      </c>
      <c r="AP68" s="60">
        <v>0.04</v>
      </c>
      <c r="AQ68" s="60">
        <v>0.55000000000000004</v>
      </c>
      <c r="AR68" s="60" t="s">
        <v>132</v>
      </c>
      <c r="AS68" s="75"/>
      <c r="AT68" s="59">
        <f t="shared" si="40"/>
        <v>13.069999999999999</v>
      </c>
      <c r="AU68" s="59">
        <f t="shared" si="41"/>
        <v>2.6874375000000001</v>
      </c>
      <c r="AV68" s="72">
        <f>IF(C68="",0,(0.5*(_ML1*LPM)+0.5*(_ML1*HB)+0.66*(P*PR)+0.66*(_ML2*RDM)+0.66*(E*ER))*VLOOKUP(BATT,'Look Ups'!$N$3:$O$4,2,0))</f>
        <v>40.717644</v>
      </c>
      <c r="AW68" s="73"/>
      <c r="AX68" s="74"/>
      <c r="AY68" s="71">
        <v>11.84</v>
      </c>
      <c r="AZ68" s="60">
        <v>3.88</v>
      </c>
      <c r="BA68" s="60">
        <v>4.26</v>
      </c>
      <c r="BB68" s="60">
        <v>0.13</v>
      </c>
      <c r="BC68" s="60">
        <v>10.84</v>
      </c>
      <c r="BD68" s="60"/>
      <c r="BE68" s="60"/>
      <c r="BF68" s="60">
        <v>0.14000000000000001</v>
      </c>
      <c r="BG68" s="60">
        <v>0</v>
      </c>
      <c r="BH68" s="75"/>
      <c r="BI68" s="72">
        <f t="shared" si="42"/>
        <v>24.336723999999997</v>
      </c>
      <c r="BJ68" s="76"/>
      <c r="BK68" s="77"/>
      <c r="BL68" s="78"/>
      <c r="BM68" s="78"/>
      <c r="BN68" s="77"/>
      <c r="BO68" s="78"/>
      <c r="BP68" s="78"/>
      <c r="BQ68" s="79">
        <f t="shared" si="72"/>
        <v>0</v>
      </c>
      <c r="BR68" s="80"/>
      <c r="BS68" s="77"/>
      <c r="BT68" s="77"/>
      <c r="BU68" s="77"/>
      <c r="BV68" s="77"/>
      <c r="BW68" s="77"/>
      <c r="BX68" s="77"/>
      <c r="BY68" s="72">
        <f t="shared" si="73"/>
        <v>0</v>
      </c>
      <c r="BZ68" s="73">
        <v>8.6999999999999993</v>
      </c>
      <c r="CA68" s="60">
        <v>15.8</v>
      </c>
      <c r="CB68" s="60">
        <v>14</v>
      </c>
      <c r="CC68" s="60">
        <v>8</v>
      </c>
      <c r="CD68" s="65">
        <f t="shared" si="45"/>
        <v>91.954022988505756</v>
      </c>
      <c r="CE68" s="60"/>
      <c r="CF68" s="79">
        <f t="shared" si="46"/>
        <v>101.07166666666666</v>
      </c>
      <c r="CG68" s="71"/>
      <c r="CH68" s="60"/>
      <c r="CI68" s="60"/>
      <c r="CJ68" s="60"/>
      <c r="CK68" s="59" t="str">
        <f t="shared" si="47"/>
        <v/>
      </c>
      <c r="CL68" s="60"/>
      <c r="CM68" s="72">
        <f t="shared" si="48"/>
        <v>0</v>
      </c>
      <c r="CN68" s="81">
        <f t="shared" si="49"/>
        <v>1</v>
      </c>
      <c r="CO68" s="59">
        <f t="shared" si="50"/>
        <v>43.405081500000001</v>
      </c>
      <c r="CP68" s="59">
        <f t="shared" si="51"/>
        <v>1</v>
      </c>
      <c r="CQ68" s="59">
        <f t="shared" si="52"/>
        <v>24.336723999999997</v>
      </c>
      <c r="CR68" s="59">
        <f>IF(AV68&gt;0,'Look Ups'!$L$3,0)</f>
        <v>1</v>
      </c>
      <c r="CS68" s="59">
        <f t="shared" si="68"/>
        <v>0</v>
      </c>
      <c r="CT68" s="59">
        <f t="shared" si="69"/>
        <v>0</v>
      </c>
      <c r="CU68" s="59">
        <f t="shared" si="70"/>
        <v>0</v>
      </c>
      <c r="CV68" s="79">
        <f t="shared" si="71"/>
        <v>0</v>
      </c>
      <c r="CW68" s="82" t="str">
        <f t="shared" si="57"/>
        <v>-</v>
      </c>
      <c r="CX68" s="65" t="str">
        <f t="shared" si="58"/>
        <v>valid</v>
      </c>
      <c r="CY68" s="66" t="str">
        <f t="shared" si="59"/>
        <v>MGSp</v>
      </c>
      <c r="CZ68" s="81">
        <f t="shared" si="60"/>
        <v>67.741805499999998</v>
      </c>
      <c r="DA68" s="59">
        <f t="shared" si="61"/>
        <v>23.020482799999996</v>
      </c>
      <c r="DB68" s="59">
        <f t="shared" si="62"/>
        <v>0</v>
      </c>
      <c r="DC68" s="59">
        <f t="shared" si="63"/>
        <v>22.636808086666662</v>
      </c>
      <c r="DD68" s="59">
        <f t="shared" si="64"/>
        <v>0</v>
      </c>
      <c r="DE68" s="79">
        <f t="shared" si="65"/>
        <v>69.801188109999998</v>
      </c>
      <c r="DF68" s="83">
        <f t="shared" si="66"/>
        <v>90.762288299999994</v>
      </c>
      <c r="DG68" s="412"/>
    </row>
    <row r="69" spans="1:255" s="205" customFormat="1" ht="16.5" customHeight="1" x14ac:dyDescent="0.3">
      <c r="A69" s="1"/>
      <c r="B69" s="416"/>
      <c r="C69" s="419" t="s">
        <v>1099</v>
      </c>
      <c r="D69" s="325" t="s">
        <v>1098</v>
      </c>
      <c r="E69" s="49" t="s">
        <v>1066</v>
      </c>
      <c r="F69" s="415">
        <f t="shared" ref="F69:F100" si="75">IF(RW=0,0,DLF*(0.93*RL^LF*RSA^0.4/RW^0.325))</f>
        <v>1.2026222713012351</v>
      </c>
      <c r="G69" s="415" t="str">
        <f t="shared" ref="G69:G100" ca="1" si="76">IF(F69&gt;0,IF(OR(TODAY()-3650&gt;I69,CW69="ERROR",CX69="ERROR"),"No","Yes"),0)</f>
        <v>Yes</v>
      </c>
      <c r="H69" s="51" t="str">
        <f t="shared" ref="H69:H100" si="77">IF(CY69="","",IF(CY69="MG","Main - Genoa",IF(CY69="MGScr","Main - Genoa - Screacher",IF(CY69="MGSp","Main - Genoa - Spinnaker",IF(CY69="MGScrSp","Main - Genoa - Screacher - Spinnaker","Invalid"))))&amp;IF(AS&gt;0," - Staysail ","")&amp;IF(AD&gt;0," - Drifter","")&amp;IF(RSAMZ&gt;0," - Mizzen","")&amp;IF(RSA2M&gt;0," - Bi-Rig",""))</f>
        <v>Main - Genoa - Screacher</v>
      </c>
      <c r="I69" s="265">
        <v>44780</v>
      </c>
      <c r="J69" s="265">
        <v>44782</v>
      </c>
      <c r="K69" s="266" t="s">
        <v>1097</v>
      </c>
      <c r="L69" s="266" t="s">
        <v>614</v>
      </c>
      <c r="M69" s="267"/>
      <c r="N69" s="268" t="s">
        <v>149</v>
      </c>
      <c r="O69" s="268" t="s">
        <v>992</v>
      </c>
      <c r="P69" s="269"/>
      <c r="Q69" s="270">
        <v>9.6999999999999993</v>
      </c>
      <c r="R69" s="271"/>
      <c r="S69" s="59">
        <f t="shared" si="74"/>
        <v>0.24249999999999999</v>
      </c>
      <c r="T69" s="272"/>
      <c r="U69" s="272"/>
      <c r="V69" s="61">
        <f t="shared" si="67"/>
        <v>9.6999999999999993</v>
      </c>
      <c r="W69" s="62">
        <f>IF(RL&gt;0,IF(RL&gt;'Look Ups'!R$7,'Look Ups'!R$8,('Look Ups'!R$3*RL^3+'Look Ups'!R$4*RL^2+'Look Ups'!R$5*RL+'Look Ups'!R$6)),0)</f>
        <v>0.298042209</v>
      </c>
      <c r="X69" s="273">
        <v>700</v>
      </c>
      <c r="Y69" s="274"/>
      <c r="Z69" s="369"/>
      <c r="AA69" s="369"/>
      <c r="AB69" s="65">
        <f t="shared" ref="AB69:AB100" si="78">WM+WE</f>
        <v>700</v>
      </c>
      <c r="AC69" s="66">
        <f t="shared" ref="AC69:AC100" si="79">WS+WCD+4*NC</f>
        <v>700</v>
      </c>
      <c r="AD69" s="275" t="s">
        <v>129</v>
      </c>
      <c r="AE69" s="276" t="s">
        <v>130</v>
      </c>
      <c r="AF69" s="277" t="s">
        <v>131</v>
      </c>
      <c r="AG69" s="70">
        <f>IF(C69="",0,VLOOKUP(AD69,'Look Ups'!$B$3:$C$6,2,0)*VLOOKUP(AE69,'Look Ups'!$E$3:$F$5,2,0)*VLOOKUP(AF69,'Look Ups'!$H$3:$I$7,2,0))</f>
        <v>1</v>
      </c>
      <c r="AH69" s="278">
        <v>15.57</v>
      </c>
      <c r="AI69" s="272">
        <v>15.4</v>
      </c>
      <c r="AJ69" s="272">
        <v>3.75</v>
      </c>
      <c r="AK69" s="272">
        <v>1.79</v>
      </c>
      <c r="AL69" s="272">
        <v>0.21</v>
      </c>
      <c r="AM69" s="272">
        <v>16.25</v>
      </c>
      <c r="AN69" s="272">
        <v>0.12</v>
      </c>
      <c r="AO69" s="272">
        <v>3.77</v>
      </c>
      <c r="AP69" s="272">
        <v>0</v>
      </c>
      <c r="AQ69" s="272">
        <v>0.57999999999999996</v>
      </c>
      <c r="AR69" s="272" t="s">
        <v>132</v>
      </c>
      <c r="AS69" s="281"/>
      <c r="AT69" s="59">
        <f t="shared" ref="AT69:AT100" si="80">P+ER</f>
        <v>16.25</v>
      </c>
      <c r="AU69" s="59">
        <f t="shared" ref="AU69:AU100" si="81">P*0.375*MC</f>
        <v>3.5343749999999998</v>
      </c>
      <c r="AV69" s="72">
        <f>IF(C69="",0,(0.5*(_ML1*LPM)+0.5*(_ML1*HB)+0.66*(P*PR)+0.66*(_ML2*RDM)+0.66*(E*ER))*VLOOKUP(BATT,'Look Ups'!$N$3:$O$4,2,0))</f>
        <v>46.550339999999998</v>
      </c>
      <c r="AW69" s="279"/>
      <c r="AX69" s="280"/>
      <c r="AY69" s="278"/>
      <c r="AZ69" s="272"/>
      <c r="BA69" s="272"/>
      <c r="BB69" s="272"/>
      <c r="BC69" s="272"/>
      <c r="BD69" s="272"/>
      <c r="BE69" s="272"/>
      <c r="BF69" s="272"/>
      <c r="BG69" s="272"/>
      <c r="BH69" s="281"/>
      <c r="BI69" s="72">
        <f t="shared" ref="BI69:BI100" si="82">(0.5*LL*LPG)+(0.5*_LG1*HG)+(0.66*LL*LLRG)+(0.66*FG*FRG)+(IF((HG&gt;0),(0.66*_LG2*LRG),(0.66*_LG1*LRG)))</f>
        <v>0</v>
      </c>
      <c r="BJ69" s="76"/>
      <c r="BK69" s="77"/>
      <c r="BL69" s="78"/>
      <c r="BM69" s="78"/>
      <c r="BN69" s="77"/>
      <c r="BO69" s="78"/>
      <c r="BP69" s="78"/>
      <c r="BQ69" s="79">
        <f t="shared" si="72"/>
        <v>0</v>
      </c>
      <c r="BR69" s="285"/>
      <c r="BS69" s="283"/>
      <c r="BT69" s="283"/>
      <c r="BU69" s="283"/>
      <c r="BV69" s="283"/>
      <c r="BW69" s="283"/>
      <c r="BX69" s="283"/>
      <c r="BY69" s="72">
        <f t="shared" si="73"/>
        <v>0</v>
      </c>
      <c r="BZ69" s="279"/>
      <c r="CA69" s="272"/>
      <c r="CB69" s="272"/>
      <c r="CC69" s="272"/>
      <c r="CD69" s="65" t="str">
        <f t="shared" ref="CD69:CD100" si="83">IF(SF&gt;0,SMG/SF*100,"")</f>
        <v/>
      </c>
      <c r="CE69" s="60"/>
      <c r="CF69" s="79">
        <f t="shared" si="46"/>
        <v>0</v>
      </c>
      <c r="CG69" s="278">
        <v>8.42</v>
      </c>
      <c r="CH69" s="272">
        <v>15.24</v>
      </c>
      <c r="CI69" s="272">
        <v>14.05</v>
      </c>
      <c r="CJ69" s="272">
        <v>4.22</v>
      </c>
      <c r="CK69" s="59">
        <f t="shared" ref="CK69:CK100" si="84">IF(CG69&gt;0,CJ69/CG69*100,"")</f>
        <v>50.118764845605703</v>
      </c>
      <c r="CL69" s="60"/>
      <c r="CM69" s="72">
        <f t="shared" ref="CM69:CM100" si="85">SCRF*(ScrL1+ScrL2)/4+(ScrMG-SCRF/2)*(ScrL1+ScrL2)/3</f>
        <v>61.753083333333329</v>
      </c>
      <c r="CN69" s="81">
        <f t="shared" ref="CN69:CN100" si="86">IF(ZVAL=1,1,IF(LPM&gt;0,0.64*((AM+MAM)/(E+(MC/2))^2)^0.3,0))</f>
        <v>1</v>
      </c>
      <c r="CO69" s="59">
        <f t="shared" ref="CO69:CO100" si="87">0.65*((AM+MAM)*EFM)+0.35*((AM+MAM)*ZVAL)</f>
        <v>50.084714999999996</v>
      </c>
      <c r="CP69" s="59">
        <f t="shared" ref="CP69:CP100" si="88">IF(ZVAL=1,1,IF(LPG&gt;0,0.72*(AG/(LPG^2))^0.3,0))</f>
        <v>1</v>
      </c>
      <c r="CQ69" s="59">
        <f t="shared" ref="CQ69:CQ100" si="89">AG*EFG</f>
        <v>0</v>
      </c>
      <c r="CR69" s="59">
        <f>IF(AV69&gt;0,'Look Ups'!$L$3,0)</f>
        <v>1</v>
      </c>
      <c r="CS69" s="59"/>
      <c r="CT69" s="59"/>
      <c r="CU69" s="59"/>
      <c r="CV69" s="79"/>
      <c r="CW69" s="82" t="str">
        <f t="shared" ref="CW69:CW100" si="90">IF((SCRF=0),"-",IF(AND(MSASC&gt;AG,ScrMG&gt;=(0.5*SCRF),ScrMG&lt;(0.75*SCRF)),"valid","ERROR"))</f>
        <v>valid</v>
      </c>
      <c r="CX69" s="65" t="str">
        <f t="shared" ref="CX69:CX100" si="91">IF((SF=0),"-",IF((SMG&lt;(0.75*SF)),"ERROR",IF(AND(MSASP&gt;MSASC,MSASP&gt;AG,MSASP&gt;=0.36*RSAM),"valid",0)))</f>
        <v>-</v>
      </c>
      <c r="CY69" s="66" t="str">
        <f t="shared" ref="CY69:CY100" si="92">IF(C69="","",IF(CW69="valid",IF(CX69="valid","MGScrSp","MGScr"),IF(CX69="valid","MGSp","MG")))</f>
        <v>MGScr</v>
      </c>
      <c r="CZ69" s="81">
        <f t="shared" ref="CZ69:CZ100" si="93">RSAM+RSAG</f>
        <v>50.084714999999996</v>
      </c>
      <c r="DA69" s="59">
        <f t="shared" ref="DA69:DA100" si="94">IF(MSASP&gt;0,0.3*(ZVAL*MSASP-RSAG),0)</f>
        <v>0</v>
      </c>
      <c r="DB69" s="59">
        <f t="shared" ref="DB69:DB100" si="95">IF(AND(MSASC&gt;0,(MSASC&gt;=0.36*RSAM)),(0.35*(ZVAL*MSASC-RSAG)),(0))</f>
        <v>21.613579166666664</v>
      </c>
      <c r="DC69" s="59">
        <f t="shared" ref="DC69:DC100" si="96">IF(MSASP&gt;0,0.295*(ZVAL*MSASP-RSAG),0)</f>
        <v>0</v>
      </c>
      <c r="DD69" s="59">
        <f t="shared" ref="DD69:DD100" si="97">IF(MSASC&gt;0,0.055*(MSASC-RSAG),0)</f>
        <v>3.396419583333333</v>
      </c>
      <c r="DE69" s="79">
        <f t="shared" ref="DE69:DE100" si="98">RSAMG+(ZVAL*0.3*0.36*(RSAM-RSAG))</f>
        <v>55.493864219999992</v>
      </c>
      <c r="DF69" s="83">
        <f t="shared" ref="DF69:DF100" si="99">IF(CY69="MG",DE69,IF(CY69="MGScr",RAMG+RASCO,IF(CY69="MGSp",RAMG+RASPO,IF(CY69="MGScrSp",RAMG+RASPSC+RASCR,0))))+RSAST+RSAD+RSAMZ+RSA2M</f>
        <v>71.698294166666656</v>
      </c>
      <c r="DG69" s="412"/>
      <c r="DH69" s="286"/>
      <c r="DI69" s="286"/>
      <c r="DJ69" s="286"/>
      <c r="DK69" s="286"/>
      <c r="DL69" s="286"/>
      <c r="DM69" s="286"/>
      <c r="DN69" s="286"/>
      <c r="DO69" s="286"/>
      <c r="DP69" s="286"/>
      <c r="DQ69" s="286"/>
      <c r="DR69" s="286"/>
      <c r="DS69" s="286"/>
      <c r="DT69" s="286"/>
      <c r="DU69" s="286"/>
      <c r="DV69" s="286"/>
      <c r="DW69" s="286"/>
      <c r="DX69" s="286"/>
      <c r="DY69" s="286"/>
      <c r="DZ69" s="286"/>
      <c r="EA69" s="286"/>
      <c r="EB69" s="286"/>
      <c r="EC69" s="286"/>
      <c r="ED69" s="286"/>
      <c r="EE69" s="286"/>
      <c r="EF69" s="286"/>
      <c r="EG69" s="286"/>
      <c r="EH69" s="286"/>
      <c r="EI69" s="286"/>
      <c r="EJ69" s="286"/>
      <c r="EK69" s="286"/>
      <c r="EL69" s="286"/>
      <c r="EM69" s="286"/>
      <c r="EN69" s="286"/>
      <c r="EO69" s="286"/>
      <c r="EP69" s="286"/>
      <c r="EQ69" s="286"/>
      <c r="ER69" s="286"/>
      <c r="ES69" s="286"/>
      <c r="ET69" s="286"/>
      <c r="EU69" s="286"/>
      <c r="EV69" s="286"/>
      <c r="EW69" s="366"/>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spans="1:255" ht="16.5" customHeight="1" x14ac:dyDescent="0.25">
      <c r="B70" s="414"/>
      <c r="C70" s="414" t="s">
        <v>881</v>
      </c>
      <c r="D70" s="48" t="s">
        <v>879</v>
      </c>
      <c r="E70" s="49" t="s">
        <v>882</v>
      </c>
      <c r="F70" s="415">
        <f t="shared" si="75"/>
        <v>1.0037472923420641</v>
      </c>
      <c r="G70" s="415" t="str">
        <f t="shared" ca="1" si="76"/>
        <v>Yes</v>
      </c>
      <c r="H70" s="51" t="str">
        <f t="shared" si="77"/>
        <v>Main - Genoa - Screacher - Spinnaker</v>
      </c>
      <c r="I70" s="52">
        <v>42672</v>
      </c>
      <c r="J70" s="52">
        <v>42677</v>
      </c>
      <c r="K70" s="53" t="s">
        <v>136</v>
      </c>
      <c r="L70" s="53" t="s">
        <v>841</v>
      </c>
      <c r="M70" s="54"/>
      <c r="N70" s="75" t="s">
        <v>127</v>
      </c>
      <c r="O70" s="75" t="s">
        <v>128</v>
      </c>
      <c r="P70" s="85"/>
      <c r="Q70" s="57">
        <v>8.57</v>
      </c>
      <c r="R70" s="58"/>
      <c r="S70" s="59">
        <f t="shared" si="74"/>
        <v>0.21425000000000002</v>
      </c>
      <c r="T70" s="60"/>
      <c r="U70" s="60"/>
      <c r="V70" s="61">
        <f t="shared" si="67"/>
        <v>8.57</v>
      </c>
      <c r="W70" s="62">
        <f>IF(RL&gt;0,IF(RL&gt;'Look Ups'!R$7,'Look Ups'!R$8,('Look Ups'!R$3*RL^3+'Look Ups'!R$4*RL^2+'Look Ups'!R$5*RL+'Look Ups'!R$6)),0)</f>
        <v>0.29556309216900001</v>
      </c>
      <c r="X70" s="63">
        <v>980</v>
      </c>
      <c r="Y70" s="64"/>
      <c r="Z70" s="64"/>
      <c r="AA70" s="64"/>
      <c r="AB70" s="65">
        <f t="shared" si="78"/>
        <v>980</v>
      </c>
      <c r="AC70" s="66">
        <f t="shared" si="79"/>
        <v>980</v>
      </c>
      <c r="AD70" s="67" t="s">
        <v>129</v>
      </c>
      <c r="AE70" s="68" t="s">
        <v>130</v>
      </c>
      <c r="AF70" s="69" t="s">
        <v>131</v>
      </c>
      <c r="AG70" s="70">
        <f>IF(C70="",0,VLOOKUP(AD70,'Look Ups'!$B$3:$C$6,2,0)*VLOOKUP(AE70,'Look Ups'!$E$3:$F$5,2,0)*VLOOKUP(AF70,'Look Ups'!$H$3:$I$7,2,0))</f>
        <v>1</v>
      </c>
      <c r="AH70" s="71">
        <v>11.6</v>
      </c>
      <c r="AI70" s="60">
        <v>11.7</v>
      </c>
      <c r="AJ70" s="60">
        <v>3.05</v>
      </c>
      <c r="AK70" s="60">
        <v>1.67</v>
      </c>
      <c r="AL70" s="60">
        <v>0.2</v>
      </c>
      <c r="AM70" s="60">
        <v>11.65</v>
      </c>
      <c r="AN70" s="60">
        <v>0.04</v>
      </c>
      <c r="AO70" s="60">
        <v>3.12</v>
      </c>
      <c r="AP70" s="60">
        <v>0.04</v>
      </c>
      <c r="AQ70" s="60">
        <v>0.53</v>
      </c>
      <c r="AR70" s="60" t="s">
        <v>132</v>
      </c>
      <c r="AS70" s="75"/>
      <c r="AT70" s="59">
        <f t="shared" si="80"/>
        <v>11.69</v>
      </c>
      <c r="AU70" s="59">
        <f t="shared" si="81"/>
        <v>2.3154375000000003</v>
      </c>
      <c r="AV70" s="72">
        <f>IF(C70="",0,(0.5*(_ML1*LPM)+0.5*(_ML1*HB)+0.66*(P*PR)+0.66*(_ML2*RDM)+0.66*(E*ER))*VLOOKUP(BATT,'Look Ups'!$N$3:$O$4,2,0))</f>
        <v>29.310327999999995</v>
      </c>
      <c r="AW70" s="73"/>
      <c r="AX70" s="74"/>
      <c r="AY70" s="71">
        <v>8.89</v>
      </c>
      <c r="AZ70" s="60">
        <v>2.87</v>
      </c>
      <c r="BA70" s="60">
        <v>3.27</v>
      </c>
      <c r="BB70" s="60">
        <v>0.13</v>
      </c>
      <c r="BC70" s="60">
        <v>7.88</v>
      </c>
      <c r="BD70" s="60">
        <v>7.89</v>
      </c>
      <c r="BE70" s="60">
        <v>0.45</v>
      </c>
      <c r="BF70" s="60"/>
      <c r="BG70" s="60"/>
      <c r="BH70" s="75"/>
      <c r="BI70" s="72">
        <f t="shared" si="82"/>
        <v>14.810716000000001</v>
      </c>
      <c r="BJ70" s="76"/>
      <c r="BK70" s="77"/>
      <c r="BL70" s="78"/>
      <c r="BM70" s="78"/>
      <c r="BN70" s="77"/>
      <c r="BO70" s="78"/>
      <c r="BP70" s="78"/>
      <c r="BQ70" s="79">
        <f t="shared" si="72"/>
        <v>0</v>
      </c>
      <c r="BR70" s="80"/>
      <c r="BS70" s="77"/>
      <c r="BT70" s="77"/>
      <c r="BU70" s="77"/>
      <c r="BV70" s="77"/>
      <c r="BW70" s="77"/>
      <c r="BX70" s="77"/>
      <c r="BY70" s="72">
        <f t="shared" si="73"/>
        <v>0</v>
      </c>
      <c r="BZ70" s="73">
        <v>7.3</v>
      </c>
      <c r="CA70" s="60">
        <v>14.13</v>
      </c>
      <c r="CB70" s="60">
        <v>12.68</v>
      </c>
      <c r="CC70" s="60">
        <v>6.95</v>
      </c>
      <c r="CD70" s="65">
        <f t="shared" si="83"/>
        <v>95.205479452054803</v>
      </c>
      <c r="CE70" s="60"/>
      <c r="CF70" s="79">
        <f t="shared" si="46"/>
        <v>78.419250000000005</v>
      </c>
      <c r="CG70" s="71">
        <v>6.97</v>
      </c>
      <c r="CH70" s="60">
        <v>12.36</v>
      </c>
      <c r="CI70" s="60">
        <v>10.81</v>
      </c>
      <c r="CJ70" s="60">
        <v>3.6</v>
      </c>
      <c r="CK70" s="59">
        <f t="shared" si="84"/>
        <v>51.649928263988521</v>
      </c>
      <c r="CL70" s="75"/>
      <c r="CM70" s="72">
        <f t="shared" si="85"/>
        <v>41.261908333333338</v>
      </c>
      <c r="CN70" s="81">
        <f t="shared" si="86"/>
        <v>1</v>
      </c>
      <c r="CO70" s="59">
        <f t="shared" si="87"/>
        <v>31.6257655</v>
      </c>
      <c r="CP70" s="59">
        <f t="shared" si="88"/>
        <v>1</v>
      </c>
      <c r="CQ70" s="59">
        <f t="shared" si="89"/>
        <v>14.810716000000001</v>
      </c>
      <c r="CR70" s="59">
        <f>IF(AV70&gt;0,'Look Ups'!$L$3,0)</f>
        <v>1</v>
      </c>
      <c r="CS70" s="59">
        <f>IF(LPS&gt;0,0.72*(AS/(LPS^2))^0.3,0)</f>
        <v>0</v>
      </c>
      <c r="CT70" s="59">
        <f>EFS*AS</f>
        <v>0</v>
      </c>
      <c r="CU70" s="59">
        <f>IF(LPD&gt;0,0.72*(AD/(LPD^2))^0.3,0)</f>
        <v>0</v>
      </c>
      <c r="CV70" s="79">
        <f>IF((AD-AG)&gt;0,0.3*(AD-AG)*EFD,0)</f>
        <v>0</v>
      </c>
      <c r="CW70" s="82" t="str">
        <f t="shared" si="90"/>
        <v>valid</v>
      </c>
      <c r="CX70" s="65" t="str">
        <f t="shared" si="91"/>
        <v>valid</v>
      </c>
      <c r="CY70" s="66" t="str">
        <f t="shared" si="92"/>
        <v>MGScrSp</v>
      </c>
      <c r="CZ70" s="81">
        <f t="shared" si="93"/>
        <v>46.436481499999999</v>
      </c>
      <c r="DA70" s="59">
        <f t="shared" si="94"/>
        <v>19.0825602</v>
      </c>
      <c r="DB70" s="59">
        <f t="shared" si="95"/>
        <v>9.2579173166666671</v>
      </c>
      <c r="DC70" s="59">
        <f t="shared" si="96"/>
        <v>18.764517529999999</v>
      </c>
      <c r="DD70" s="59">
        <f t="shared" si="97"/>
        <v>1.4548155783333336</v>
      </c>
      <c r="DE70" s="79">
        <f t="shared" si="98"/>
        <v>48.252506846000003</v>
      </c>
      <c r="DF70" s="83">
        <f t="shared" si="99"/>
        <v>66.65581460833333</v>
      </c>
      <c r="DG70" s="412"/>
    </row>
    <row r="71" spans="1:255" ht="16.5" customHeight="1" x14ac:dyDescent="0.25">
      <c r="B71" s="414"/>
      <c r="C71" s="414" t="s">
        <v>671</v>
      </c>
      <c r="D71" s="48" t="s">
        <v>1059</v>
      </c>
      <c r="E71" s="49" t="s">
        <v>1040</v>
      </c>
      <c r="F71" s="415">
        <f t="shared" si="75"/>
        <v>0.80489131679841786</v>
      </c>
      <c r="G71" s="415" t="str">
        <f t="shared" ca="1" si="76"/>
        <v>Yes</v>
      </c>
      <c r="H71" s="51" t="str">
        <f t="shared" si="77"/>
        <v>Main - Genoa - Screacher - Spinnaker</v>
      </c>
      <c r="I71" s="52">
        <v>44231</v>
      </c>
      <c r="J71" s="52">
        <v>44475</v>
      </c>
      <c r="K71" s="53" t="s">
        <v>614</v>
      </c>
      <c r="L71" s="53" t="s">
        <v>614</v>
      </c>
      <c r="M71" s="54"/>
      <c r="N71" s="75" t="s">
        <v>127</v>
      </c>
      <c r="O71" s="75" t="s">
        <v>128</v>
      </c>
      <c r="P71" s="85"/>
      <c r="Q71" s="57">
        <v>8.74</v>
      </c>
      <c r="R71" s="58"/>
      <c r="S71" s="59">
        <f t="shared" si="74"/>
        <v>0.21850000000000003</v>
      </c>
      <c r="T71" s="60">
        <v>0.18</v>
      </c>
      <c r="U71" s="60"/>
      <c r="V71" s="61">
        <f t="shared" si="67"/>
        <v>8.56</v>
      </c>
      <c r="W71" s="62">
        <f>IF(RL&gt;0,IF(RL&gt;'Look Ups'!R$7,'Look Ups'!R$8,('Look Ups'!R$3*RL^3+'Look Ups'!R$4*RL^2+'Look Ups'!R$5*RL+'Look Ups'!R$6)),0)</f>
        <v>0.29553528652800004</v>
      </c>
      <c r="X71" s="63">
        <v>1588.9</v>
      </c>
      <c r="Y71" s="64"/>
      <c r="Z71" s="64">
        <v>291</v>
      </c>
      <c r="AA71" s="64">
        <v>3</v>
      </c>
      <c r="AB71" s="65">
        <f t="shared" si="78"/>
        <v>1588.9</v>
      </c>
      <c r="AC71" s="66">
        <f t="shared" si="79"/>
        <v>1891.9</v>
      </c>
      <c r="AD71" s="67" t="s">
        <v>129</v>
      </c>
      <c r="AE71" s="68" t="s">
        <v>130</v>
      </c>
      <c r="AF71" s="69" t="s">
        <v>131</v>
      </c>
      <c r="AG71" s="70">
        <f>IF(C71="",0,VLOOKUP(AD71,'Look Ups'!$B$3:$C$6,2,0)*VLOOKUP(AE71,'Look Ups'!$E$3:$F$5,2,0)*VLOOKUP(AF71,'Look Ups'!$H$3:$I$7,2,0))</f>
        <v>1</v>
      </c>
      <c r="AH71" s="71">
        <v>11.195</v>
      </c>
      <c r="AI71" s="60">
        <v>10.852</v>
      </c>
      <c r="AJ71" s="60">
        <v>3.36</v>
      </c>
      <c r="AK71" s="60">
        <v>1.42</v>
      </c>
      <c r="AL71" s="60">
        <v>0.25</v>
      </c>
      <c r="AM71" s="60">
        <v>10.723000000000001</v>
      </c>
      <c r="AN71" s="60">
        <v>0.111</v>
      </c>
      <c r="AO71" s="60">
        <v>3.53</v>
      </c>
      <c r="AP71" s="60">
        <v>7.1999999999999995E-2</v>
      </c>
      <c r="AQ71" s="60">
        <v>0.48</v>
      </c>
      <c r="AR71" s="60" t="s">
        <v>132</v>
      </c>
      <c r="AS71" s="75"/>
      <c r="AT71" s="59">
        <f t="shared" si="80"/>
        <v>10.795</v>
      </c>
      <c r="AU71" s="59">
        <f t="shared" si="81"/>
        <v>1.9301400000000002</v>
      </c>
      <c r="AV71" s="72">
        <f>IF(C71="",0,(0.5*(_ML1*LPM)+0.5*(_ML1*HB)+0.66*(P*PR)+0.66*(_ML2*RDM)+0.66*(E*ER))*VLOOKUP(BATT,'Look Ups'!$N$3:$O$4,2,0))</f>
        <v>29.499942579999999</v>
      </c>
      <c r="AW71" s="73"/>
      <c r="AX71" s="74"/>
      <c r="AY71" s="71">
        <v>9.4949999999999992</v>
      </c>
      <c r="AZ71" s="60">
        <v>3.395</v>
      </c>
      <c r="BA71" s="60">
        <v>3.7149999999999999</v>
      </c>
      <c r="BB71" s="60">
        <v>0.13</v>
      </c>
      <c r="BC71" s="60">
        <v>8.6</v>
      </c>
      <c r="BD71" s="60"/>
      <c r="BE71" s="60"/>
      <c r="BF71" s="60">
        <v>0.08</v>
      </c>
      <c r="BG71" s="60">
        <v>3.2000000000000001E-2</v>
      </c>
      <c r="BH71" s="75"/>
      <c r="BI71" s="72">
        <f t="shared" si="82"/>
        <v>17.091123899999996</v>
      </c>
      <c r="BJ71" s="76"/>
      <c r="BK71" s="77"/>
      <c r="BL71" s="78"/>
      <c r="BM71" s="78"/>
      <c r="BN71" s="77"/>
      <c r="BO71" s="78"/>
      <c r="BP71" s="78"/>
      <c r="BQ71" s="79">
        <f t="shared" si="72"/>
        <v>0</v>
      </c>
      <c r="BR71" s="80"/>
      <c r="BS71" s="77"/>
      <c r="BT71" s="77"/>
      <c r="BU71" s="77"/>
      <c r="BV71" s="77"/>
      <c r="BW71" s="77"/>
      <c r="BX71" s="77"/>
      <c r="BY71" s="72">
        <f t="shared" si="73"/>
        <v>0</v>
      </c>
      <c r="BZ71" s="73">
        <v>8.2100000000000009</v>
      </c>
      <c r="CA71" s="60">
        <v>10.68</v>
      </c>
      <c r="CB71" s="60">
        <v>12.15</v>
      </c>
      <c r="CC71" s="60">
        <v>7.36</v>
      </c>
      <c r="CD71" s="65">
        <f t="shared" si="83"/>
        <v>89.646772228989036</v>
      </c>
      <c r="CE71" s="60"/>
      <c r="CF71" s="79">
        <f t="shared" si="46"/>
        <v>71.629125000000002</v>
      </c>
      <c r="CG71" s="71">
        <v>7.14</v>
      </c>
      <c r="CH71" s="60">
        <v>10.19</v>
      </c>
      <c r="CI71" s="60">
        <v>8.65</v>
      </c>
      <c r="CJ71" s="60">
        <v>3.7</v>
      </c>
      <c r="CK71" s="59">
        <f t="shared" si="84"/>
        <v>51.820728291316534</v>
      </c>
      <c r="CL71" s="75"/>
      <c r="CM71" s="72">
        <f t="shared" si="85"/>
        <v>34.445799999999998</v>
      </c>
      <c r="CN71" s="81">
        <f t="shared" si="86"/>
        <v>1</v>
      </c>
      <c r="CO71" s="59">
        <f t="shared" si="87"/>
        <v>31.430082580000001</v>
      </c>
      <c r="CP71" s="59">
        <f t="shared" si="88"/>
        <v>1</v>
      </c>
      <c r="CQ71" s="59">
        <f t="shared" si="89"/>
        <v>17.091123899999996</v>
      </c>
      <c r="CR71" s="59">
        <f>IF(AV71&gt;0,'Look Ups'!$L$3,0)</f>
        <v>1</v>
      </c>
      <c r="CS71" s="59"/>
      <c r="CT71" s="59"/>
      <c r="CU71" s="59"/>
      <c r="CV71" s="79"/>
      <c r="CW71" s="82" t="str">
        <f t="shared" si="90"/>
        <v>valid</v>
      </c>
      <c r="CX71" s="65" t="str">
        <f t="shared" si="91"/>
        <v>valid</v>
      </c>
      <c r="CY71" s="66" t="str">
        <f t="shared" si="92"/>
        <v>MGScrSp</v>
      </c>
      <c r="CZ71" s="81">
        <f t="shared" si="93"/>
        <v>48.521206479999996</v>
      </c>
      <c r="DA71" s="59">
        <f t="shared" si="94"/>
        <v>16.361400329999999</v>
      </c>
      <c r="DB71" s="59">
        <f t="shared" si="95"/>
        <v>6.0741366350000003</v>
      </c>
      <c r="DC71" s="59">
        <f t="shared" si="96"/>
        <v>16.088710324499999</v>
      </c>
      <c r="DD71" s="59">
        <f t="shared" si="97"/>
        <v>0.95450718550000013</v>
      </c>
      <c r="DE71" s="79">
        <f t="shared" si="98"/>
        <v>50.069814017439995</v>
      </c>
      <c r="DF71" s="83">
        <f t="shared" si="99"/>
        <v>65.564423989999995</v>
      </c>
      <c r="DG71" s="412"/>
    </row>
    <row r="72" spans="1:255" ht="16.5" customHeight="1" x14ac:dyDescent="0.25">
      <c r="B72" s="414"/>
      <c r="C72" s="414" t="s">
        <v>306</v>
      </c>
      <c r="D72" s="48" t="s">
        <v>235</v>
      </c>
      <c r="E72" s="49" t="s">
        <v>307</v>
      </c>
      <c r="F72" s="415">
        <f t="shared" si="75"/>
        <v>0.86323387974858701</v>
      </c>
      <c r="G72" s="415" t="str">
        <f t="shared" ca="1" si="76"/>
        <v>Yes</v>
      </c>
      <c r="H72" s="51" t="str">
        <f t="shared" si="77"/>
        <v>Main - Genoa - Screacher - Spinnaker</v>
      </c>
      <c r="I72" s="52">
        <v>42293</v>
      </c>
      <c r="J72" s="52">
        <v>43140</v>
      </c>
      <c r="K72" s="53" t="s">
        <v>919</v>
      </c>
      <c r="L72" s="53" t="s">
        <v>841</v>
      </c>
      <c r="M72" s="54"/>
      <c r="N72" s="55" t="s">
        <v>127</v>
      </c>
      <c r="O72" s="55" t="s">
        <v>128</v>
      </c>
      <c r="P72" s="86"/>
      <c r="Q72" s="57">
        <v>7.09</v>
      </c>
      <c r="R72" s="58"/>
      <c r="S72" s="59">
        <f t="shared" si="74"/>
        <v>0.17725000000000002</v>
      </c>
      <c r="T72" s="60">
        <v>0.03</v>
      </c>
      <c r="U72" s="60"/>
      <c r="V72" s="61">
        <f t="shared" si="67"/>
        <v>7.06</v>
      </c>
      <c r="W72" s="62">
        <f>IF(RL&gt;0,IF(RL&gt;'Look Ups'!R$7,'Look Ups'!R$8,('Look Ups'!R$3*RL^3+'Look Ups'!R$4*RL^2+'Look Ups'!R$5*RL+'Look Ups'!R$6)),0)</f>
        <v>0.29000152192799999</v>
      </c>
      <c r="X72" s="63">
        <v>873</v>
      </c>
      <c r="Y72" s="64"/>
      <c r="Z72" s="64"/>
      <c r="AA72" s="64"/>
      <c r="AB72" s="65">
        <f t="shared" si="78"/>
        <v>873</v>
      </c>
      <c r="AC72" s="66">
        <f t="shared" si="79"/>
        <v>873</v>
      </c>
      <c r="AD72" s="67" t="s">
        <v>129</v>
      </c>
      <c r="AE72" s="68" t="s">
        <v>130</v>
      </c>
      <c r="AF72" s="69" t="s">
        <v>131</v>
      </c>
      <c r="AG72" s="70">
        <f>IF(C72="",0,VLOOKUP(AD72,'Look Ups'!$B$3:$C$6,2,0)*VLOOKUP(AE72,'Look Ups'!$E$3:$F$5,2,0)*VLOOKUP(AF72,'Look Ups'!$H$3:$I$7,2,0))</f>
        <v>1</v>
      </c>
      <c r="AH72" s="71">
        <v>10.4</v>
      </c>
      <c r="AI72" s="60">
        <v>10.18</v>
      </c>
      <c r="AJ72" s="60">
        <v>2.82</v>
      </c>
      <c r="AK72" s="60">
        <v>0.74</v>
      </c>
      <c r="AL72" s="60">
        <v>0.75</v>
      </c>
      <c r="AM72" s="60">
        <v>10.11</v>
      </c>
      <c r="AN72" s="60">
        <v>0.03</v>
      </c>
      <c r="AO72" s="60">
        <v>2.92</v>
      </c>
      <c r="AP72" s="60">
        <v>0.05</v>
      </c>
      <c r="AQ72" s="60">
        <v>0.52</v>
      </c>
      <c r="AR72" s="60" t="s">
        <v>132</v>
      </c>
      <c r="AS72" s="75"/>
      <c r="AT72" s="59">
        <f t="shared" si="80"/>
        <v>10.16</v>
      </c>
      <c r="AU72" s="59">
        <f t="shared" si="81"/>
        <v>1.9714499999999999</v>
      </c>
      <c r="AV72" s="72">
        <f>IF(C72="",0,(0.5*(_ML1*LPM)+0.5*(_ML1*HB)+0.66*(P*PR)+0.66*(_ML2*RDM)+0.66*(E*ER))*VLOOKUP(BATT,'Look Ups'!$N$3:$O$4,2,0))</f>
        <v>23.847638000000003</v>
      </c>
      <c r="AW72" s="73"/>
      <c r="AX72" s="74"/>
      <c r="AY72" s="71">
        <v>8.5299999999999994</v>
      </c>
      <c r="AZ72" s="60">
        <v>2.456</v>
      </c>
      <c r="BA72" s="60">
        <v>2.88</v>
      </c>
      <c r="BB72" s="60">
        <v>7.0000000000000007E-2</v>
      </c>
      <c r="BC72" s="60">
        <v>7.52</v>
      </c>
      <c r="BD72" s="60"/>
      <c r="BE72" s="60"/>
      <c r="BF72" s="60">
        <v>-0.14000000000000001</v>
      </c>
      <c r="BG72" s="60">
        <v>0</v>
      </c>
      <c r="BH72" s="75"/>
      <c r="BI72" s="72">
        <f t="shared" si="82"/>
        <v>9.9130479999999981</v>
      </c>
      <c r="BJ72" s="76"/>
      <c r="BK72" s="77"/>
      <c r="BL72" s="78"/>
      <c r="BM72" s="78"/>
      <c r="BN72" s="77"/>
      <c r="BO72" s="78"/>
      <c r="BP72" s="78"/>
      <c r="BQ72" s="79">
        <f t="shared" si="72"/>
        <v>0</v>
      </c>
      <c r="BR72" s="80"/>
      <c r="BS72" s="77"/>
      <c r="BT72" s="77"/>
      <c r="BU72" s="77"/>
      <c r="BV72" s="77"/>
      <c r="BW72" s="77"/>
      <c r="BX72" s="77"/>
      <c r="BY72" s="72">
        <f t="shared" si="73"/>
        <v>0</v>
      </c>
      <c r="BZ72" s="73">
        <v>6.35</v>
      </c>
      <c r="CA72" s="60">
        <v>12</v>
      </c>
      <c r="CB72" s="60">
        <v>10.52</v>
      </c>
      <c r="CC72" s="60">
        <v>5.43</v>
      </c>
      <c r="CD72" s="65">
        <f t="shared" si="83"/>
        <v>85.511811023622059</v>
      </c>
      <c r="CE72" s="60"/>
      <c r="CF72" s="79">
        <f t="shared" si="46"/>
        <v>52.678033333333332</v>
      </c>
      <c r="CG72" s="71">
        <v>5.6950000000000003</v>
      </c>
      <c r="CH72" s="60">
        <v>10.27</v>
      </c>
      <c r="CI72" s="60">
        <v>9.07</v>
      </c>
      <c r="CJ72" s="60">
        <v>2.9450000000000003</v>
      </c>
      <c r="CK72" s="59">
        <f t="shared" si="84"/>
        <v>51.71202809482002</v>
      </c>
      <c r="CL72" s="60"/>
      <c r="CM72" s="72">
        <f t="shared" si="85"/>
        <v>28.163875000000001</v>
      </c>
      <c r="CN72" s="81">
        <f t="shared" si="86"/>
        <v>1</v>
      </c>
      <c r="CO72" s="59">
        <f t="shared" si="87"/>
        <v>25.819088000000008</v>
      </c>
      <c r="CP72" s="59">
        <f t="shared" si="88"/>
        <v>1</v>
      </c>
      <c r="CQ72" s="59">
        <f t="shared" si="89"/>
        <v>9.9130479999999981</v>
      </c>
      <c r="CR72" s="59">
        <f>IF(AV72&gt;0,'Look Ups'!$L$3,0)</f>
        <v>1</v>
      </c>
      <c r="CS72" s="59">
        <f>IF(LPS&gt;0,0.72*(AS/(LPS^2))^0.3,0)</f>
        <v>0</v>
      </c>
      <c r="CT72" s="59">
        <f>EFS*AS</f>
        <v>0</v>
      </c>
      <c r="CU72" s="59">
        <f>IF(LPD&gt;0,0.72*(AD/(LPD^2))^0.3,0)</f>
        <v>0</v>
      </c>
      <c r="CV72" s="79">
        <f>IF((AD-AG)&gt;0,0.3*(AD-AG)*EFD,0)</f>
        <v>0</v>
      </c>
      <c r="CW72" s="82" t="str">
        <f t="shared" si="90"/>
        <v>valid</v>
      </c>
      <c r="CX72" s="65" t="str">
        <f t="shared" si="91"/>
        <v>valid</v>
      </c>
      <c r="CY72" s="66" t="str">
        <f t="shared" si="92"/>
        <v>MGScrSp</v>
      </c>
      <c r="CZ72" s="81">
        <f t="shared" si="93"/>
        <v>35.732136000000004</v>
      </c>
      <c r="DA72" s="59">
        <f t="shared" si="94"/>
        <v>12.8294956</v>
      </c>
      <c r="DB72" s="59">
        <f t="shared" si="95"/>
        <v>6.3877894499999996</v>
      </c>
      <c r="DC72" s="59">
        <f t="shared" si="96"/>
        <v>12.615670673333334</v>
      </c>
      <c r="DD72" s="59">
        <f t="shared" si="97"/>
        <v>1.0037954850000002</v>
      </c>
      <c r="DE72" s="79">
        <f t="shared" si="98"/>
        <v>37.449988320000003</v>
      </c>
      <c r="DF72" s="83">
        <f t="shared" si="99"/>
        <v>49.351602158333336</v>
      </c>
      <c r="DG72" s="412"/>
    </row>
    <row r="73" spans="1:255" ht="16.25" customHeight="1" x14ac:dyDescent="0.25">
      <c r="B73" s="414"/>
      <c r="C73" s="416" t="s">
        <v>914</v>
      </c>
      <c r="D73" s="211" t="s">
        <v>884</v>
      </c>
      <c r="E73" s="212" t="s">
        <v>906</v>
      </c>
      <c r="F73" s="415">
        <f t="shared" si="75"/>
        <v>0.95815540137948796</v>
      </c>
      <c r="G73" s="415" t="str">
        <f t="shared" ca="1" si="76"/>
        <v>Yes</v>
      </c>
      <c r="H73" s="51" t="str">
        <f t="shared" si="77"/>
        <v>Main - Genoa - Screacher</v>
      </c>
      <c r="I73" s="52">
        <v>43002</v>
      </c>
      <c r="J73" s="52">
        <v>43859</v>
      </c>
      <c r="K73" s="53" t="s">
        <v>849</v>
      </c>
      <c r="L73" s="53" t="s">
        <v>299</v>
      </c>
      <c r="M73" s="54"/>
      <c r="N73" s="55" t="s">
        <v>127</v>
      </c>
      <c r="O73" s="55" t="s">
        <v>138</v>
      </c>
      <c r="P73" s="86"/>
      <c r="Q73" s="57">
        <v>7.28</v>
      </c>
      <c r="R73" s="58"/>
      <c r="S73" s="59">
        <f t="shared" si="74"/>
        <v>0.18200000000000002</v>
      </c>
      <c r="T73" s="60"/>
      <c r="U73" s="60"/>
      <c r="V73" s="61">
        <f t="shared" si="67"/>
        <v>7.28</v>
      </c>
      <c r="W73" s="62">
        <f>IF(RL&gt;0,IF(RL&gt;'Look Ups'!R$7,'Look Ups'!R$8,('Look Ups'!R$3*RL^3+'Look Ups'!R$4*RL^2+'Look Ups'!R$5*RL+'Look Ups'!R$6)),0)</f>
        <v>0.29099457561600001</v>
      </c>
      <c r="X73" s="63">
        <v>595</v>
      </c>
      <c r="Y73" s="64"/>
      <c r="Z73" s="64"/>
      <c r="AA73" s="64"/>
      <c r="AB73" s="65">
        <f t="shared" si="78"/>
        <v>595</v>
      </c>
      <c r="AC73" s="66">
        <f t="shared" si="79"/>
        <v>595</v>
      </c>
      <c r="AD73" s="67" t="s">
        <v>129</v>
      </c>
      <c r="AE73" s="68" t="s">
        <v>130</v>
      </c>
      <c r="AF73" s="69" t="s">
        <v>131</v>
      </c>
      <c r="AG73" s="70">
        <f>IF(C73="",0,VLOOKUP(AD73,'Look Ups'!$B$3:$C$6,2,0)*VLOOKUP(AE73,'Look Ups'!$E$3:$F$5,2,0)*VLOOKUP(AF73,'Look Ups'!$H$3:$I$7,2,0))</f>
        <v>1</v>
      </c>
      <c r="AH73" s="71">
        <v>10.64</v>
      </c>
      <c r="AI73" s="60">
        <v>10.59</v>
      </c>
      <c r="AJ73" s="60">
        <v>2.94</v>
      </c>
      <c r="AK73" s="60">
        <v>1.37</v>
      </c>
      <c r="AL73" s="60">
        <v>0.17</v>
      </c>
      <c r="AM73" s="60">
        <v>10.72</v>
      </c>
      <c r="AN73" s="60">
        <v>0.05</v>
      </c>
      <c r="AO73" s="60">
        <v>2.96</v>
      </c>
      <c r="AP73" s="60">
        <v>0</v>
      </c>
      <c r="AQ73" s="60">
        <v>0.51</v>
      </c>
      <c r="AR73" s="60" t="s">
        <v>132</v>
      </c>
      <c r="AS73" s="75"/>
      <c r="AT73" s="59">
        <f t="shared" si="80"/>
        <v>10.72</v>
      </c>
      <c r="AU73" s="59">
        <f t="shared" si="81"/>
        <v>2.0502000000000002</v>
      </c>
      <c r="AV73" s="72">
        <f>IF(C73="",0,(0.5*(_ML1*LPM)+0.5*(_ML1*HB)+0.66*(P*PR)+0.66*(_ML2*RDM)+0.66*(E*ER))*VLOOKUP(BATT,'Look Ups'!$N$3:$O$4,2,0))</f>
        <v>24.471158000000003</v>
      </c>
      <c r="AW73" s="73"/>
      <c r="AX73" s="74"/>
      <c r="AY73" s="71">
        <v>9.11</v>
      </c>
      <c r="AZ73" s="60">
        <v>2.0699999999999998</v>
      </c>
      <c r="BA73" s="60">
        <v>2.3199999999999998</v>
      </c>
      <c r="BB73" s="60">
        <v>0.06</v>
      </c>
      <c r="BC73" s="60">
        <v>8.27</v>
      </c>
      <c r="BD73" s="60"/>
      <c r="BE73" s="60"/>
      <c r="BF73" s="60">
        <v>-7.0000000000000007E-2</v>
      </c>
      <c r="BG73" s="60"/>
      <c r="BH73" s="75"/>
      <c r="BI73" s="72">
        <f t="shared" si="82"/>
        <v>9.1386479999999999</v>
      </c>
      <c r="BJ73" s="76"/>
      <c r="BK73" s="77"/>
      <c r="BL73" s="78"/>
      <c r="BM73" s="78"/>
      <c r="BN73" s="77"/>
      <c r="BO73" s="78"/>
      <c r="BP73" s="78"/>
      <c r="BQ73" s="79"/>
      <c r="BR73" s="80"/>
      <c r="BS73" s="77"/>
      <c r="BT73" s="77"/>
      <c r="BU73" s="77"/>
      <c r="BV73" s="77"/>
      <c r="BW73" s="77"/>
      <c r="BX73" s="77"/>
      <c r="BY73" s="72"/>
      <c r="BZ73" s="73">
        <v>6.48</v>
      </c>
      <c r="CA73" s="60">
        <v>12.6</v>
      </c>
      <c r="CB73" s="60">
        <v>11.06</v>
      </c>
      <c r="CC73" s="60">
        <v>5.55</v>
      </c>
      <c r="CD73" s="65">
        <f t="shared" si="83"/>
        <v>85.648148148148138</v>
      </c>
      <c r="CE73" s="60"/>
      <c r="CF73" s="79"/>
      <c r="CG73" s="71">
        <v>6.22</v>
      </c>
      <c r="CH73" s="60">
        <v>11.56</v>
      </c>
      <c r="CI73" s="60">
        <v>9.9600000000000009</v>
      </c>
      <c r="CJ73" s="60">
        <v>3.7</v>
      </c>
      <c r="CK73" s="59">
        <f t="shared" si="84"/>
        <v>59.485530546623799</v>
      </c>
      <c r="CL73" s="60"/>
      <c r="CM73" s="72">
        <f t="shared" si="85"/>
        <v>37.695866666666674</v>
      </c>
      <c r="CN73" s="81">
        <f t="shared" si="86"/>
        <v>1</v>
      </c>
      <c r="CO73" s="59">
        <f t="shared" si="87"/>
        <v>26.521357999999999</v>
      </c>
      <c r="CP73" s="59">
        <f t="shared" si="88"/>
        <v>1</v>
      </c>
      <c r="CQ73" s="59">
        <f t="shared" si="89"/>
        <v>9.1386479999999999</v>
      </c>
      <c r="CR73" s="59">
        <f>IF(AV73&gt;0,'Look Ups'!$L$3,0)</f>
        <v>1</v>
      </c>
      <c r="CS73" s="59"/>
      <c r="CT73" s="59"/>
      <c r="CU73" s="59"/>
      <c r="CV73" s="79"/>
      <c r="CW73" s="82" t="str">
        <f t="shared" si="90"/>
        <v>valid</v>
      </c>
      <c r="CX73" s="65">
        <f t="shared" si="91"/>
        <v>0</v>
      </c>
      <c r="CY73" s="66" t="str">
        <f t="shared" si="92"/>
        <v>MGScr</v>
      </c>
      <c r="CZ73" s="81">
        <f t="shared" si="93"/>
        <v>35.660005999999996</v>
      </c>
      <c r="DA73" s="59">
        <f t="shared" si="94"/>
        <v>0</v>
      </c>
      <c r="DB73" s="59">
        <f t="shared" si="95"/>
        <v>9.9950265333333359</v>
      </c>
      <c r="DC73" s="59">
        <f t="shared" si="96"/>
        <v>0</v>
      </c>
      <c r="DD73" s="59">
        <f t="shared" si="97"/>
        <v>1.570647026666667</v>
      </c>
      <c r="DE73" s="79">
        <f t="shared" si="98"/>
        <v>37.537338679999998</v>
      </c>
      <c r="DF73" s="83">
        <f t="shared" si="99"/>
        <v>45.655032533333333</v>
      </c>
      <c r="DG73" s="412"/>
    </row>
    <row r="74" spans="1:255" ht="16.5" customHeight="1" x14ac:dyDescent="0.25">
      <c r="B74" s="418"/>
      <c r="C74" s="414" t="s">
        <v>313</v>
      </c>
      <c r="D74" s="48" t="s">
        <v>314</v>
      </c>
      <c r="E74" s="49" t="s">
        <v>315</v>
      </c>
      <c r="F74" s="415">
        <f t="shared" si="75"/>
        <v>0.84426385762135836</v>
      </c>
      <c r="G74" s="415" t="str">
        <f t="shared" ca="1" si="76"/>
        <v>Yes</v>
      </c>
      <c r="H74" s="51" t="str">
        <f t="shared" si="77"/>
        <v>Main - Genoa - Screacher - Spinnaker</v>
      </c>
      <c r="I74" s="52">
        <v>41343</v>
      </c>
      <c r="J74" s="52">
        <v>41450</v>
      </c>
      <c r="K74" s="53" t="s">
        <v>233</v>
      </c>
      <c r="L74" s="53" t="s">
        <v>137</v>
      </c>
      <c r="M74" s="54"/>
      <c r="N74" s="55" t="s">
        <v>149</v>
      </c>
      <c r="O74" s="55"/>
      <c r="P74" s="86">
        <v>7.8</v>
      </c>
      <c r="Q74" s="57">
        <v>13.827999999999999</v>
      </c>
      <c r="R74" s="58"/>
      <c r="S74" s="59">
        <f t="shared" si="74"/>
        <v>0.34570000000000001</v>
      </c>
      <c r="T74" s="60">
        <v>0.318</v>
      </c>
      <c r="U74" s="60">
        <v>0</v>
      </c>
      <c r="V74" s="61">
        <f t="shared" si="67"/>
        <v>13.51</v>
      </c>
      <c r="W74" s="62">
        <f>IF(RL&gt;0,IF(RL&gt;'Look Ups'!R$7,'Look Ups'!R$8,('Look Ups'!R$3*RL^3+'Look Ups'!R$4*RL^2+'Look Ups'!R$5*RL+'Look Ups'!R$6)),0)</f>
        <v>0.3</v>
      </c>
      <c r="X74" s="63">
        <v>6533</v>
      </c>
      <c r="Y74" s="64"/>
      <c r="Z74" s="64"/>
      <c r="AA74" s="64"/>
      <c r="AB74" s="65">
        <f t="shared" si="78"/>
        <v>6533</v>
      </c>
      <c r="AC74" s="66">
        <f t="shared" si="79"/>
        <v>6533</v>
      </c>
      <c r="AD74" s="67" t="s">
        <v>129</v>
      </c>
      <c r="AE74" s="68" t="s">
        <v>130</v>
      </c>
      <c r="AF74" s="69" t="s">
        <v>161</v>
      </c>
      <c r="AG74" s="70">
        <f>IF(C74="",0,VLOOKUP(AD74,'Look Ups'!$B$3:$C$6,2,0)*VLOOKUP(AE74,'Look Ups'!$E$3:$F$5,2,0)*VLOOKUP(AF74,'Look Ups'!$H$3:$I$7,2,0))</f>
        <v>0.99</v>
      </c>
      <c r="AH74" s="71">
        <v>17.225000000000001</v>
      </c>
      <c r="AI74" s="60">
        <v>16.93</v>
      </c>
      <c r="AJ74" s="60">
        <v>4.67</v>
      </c>
      <c r="AK74" s="60">
        <v>1.6</v>
      </c>
      <c r="AL74" s="60">
        <v>0.7</v>
      </c>
      <c r="AM74" s="60">
        <v>16.998000000000001</v>
      </c>
      <c r="AN74" s="60">
        <v>0.2</v>
      </c>
      <c r="AO74" s="60">
        <v>4.9000000000000004</v>
      </c>
      <c r="AP74" s="60">
        <v>0.9</v>
      </c>
      <c r="AQ74" s="60">
        <v>0.95</v>
      </c>
      <c r="AR74" s="60" t="s">
        <v>132</v>
      </c>
      <c r="AS74" s="75">
        <v>0</v>
      </c>
      <c r="AT74" s="59">
        <f t="shared" si="80"/>
        <v>17.898</v>
      </c>
      <c r="AU74" s="59">
        <f t="shared" si="81"/>
        <v>6.0555374999999998</v>
      </c>
      <c r="AV74" s="72">
        <f>IF(C74="",0,(0.5*(_ML1*LPM)+0.5*(_ML1*HB)+0.66*(P*PR)+0.66*(_ML2*RDM)+0.66*(E*ER))*VLOOKUP(BATT,'Look Ups'!$N$3:$O$4,2,0))</f>
        <v>66.976371</v>
      </c>
      <c r="AW74" s="73"/>
      <c r="AX74" s="74"/>
      <c r="AY74" s="71">
        <v>16.25</v>
      </c>
      <c r="AZ74" s="60">
        <v>3.7650000000000001</v>
      </c>
      <c r="BA74" s="60">
        <v>4.16</v>
      </c>
      <c r="BB74" s="60">
        <v>3.6999999999999998E-2</v>
      </c>
      <c r="BC74" s="60">
        <v>13.97</v>
      </c>
      <c r="BD74" s="60"/>
      <c r="BE74" s="60"/>
      <c r="BF74" s="60">
        <v>-0.13600000000000001</v>
      </c>
      <c r="BG74" s="60">
        <v>0.124</v>
      </c>
      <c r="BH74" s="75"/>
      <c r="BI74" s="72">
        <f t="shared" si="82"/>
        <v>30.768164999999996</v>
      </c>
      <c r="BJ74" s="76"/>
      <c r="BK74" s="77"/>
      <c r="BL74" s="78"/>
      <c r="BM74" s="78"/>
      <c r="BN74" s="77"/>
      <c r="BO74" s="78"/>
      <c r="BP74" s="78"/>
      <c r="BQ74" s="79">
        <f t="shared" ref="BQ74:BQ87" si="100">(0.5*LLS*LPS)+(0.66*LLS*LLRS)+(0.66*LS*LRS)+(0.66*FS*FRS)</f>
        <v>0</v>
      </c>
      <c r="BR74" s="80"/>
      <c r="BS74" s="77"/>
      <c r="BT74" s="77"/>
      <c r="BU74" s="77"/>
      <c r="BV74" s="77"/>
      <c r="BW74" s="77"/>
      <c r="BX74" s="77"/>
      <c r="BY74" s="72">
        <f t="shared" ref="BY74:BY87" si="101">(0.5*LLD*LPD)+(0.66*LLD*LLRD)+(0.66*LCHD*LRD)+(0.66*FD*FRD)</f>
        <v>0</v>
      </c>
      <c r="BZ74" s="73">
        <v>10.73</v>
      </c>
      <c r="CA74" s="60">
        <v>19.82</v>
      </c>
      <c r="CB74" s="60">
        <v>17.57</v>
      </c>
      <c r="CC74" s="60">
        <v>9.94</v>
      </c>
      <c r="CD74" s="65">
        <f t="shared" si="83"/>
        <v>92.637465051258147</v>
      </c>
      <c r="CE74" s="60">
        <v>0</v>
      </c>
      <c r="CF74" s="79">
        <f t="shared" ref="CF74:CF105" si="102">SF*(_SL1+_SL2)/4+(SMG-SF/2)*(_SL1+_SL2)/3</f>
        <v>157.31842499999999</v>
      </c>
      <c r="CG74" s="71">
        <v>10.039999999999999</v>
      </c>
      <c r="CH74" s="60">
        <v>17.5</v>
      </c>
      <c r="CI74" s="60">
        <v>13.89</v>
      </c>
      <c r="CJ74" s="60">
        <v>5.0250000000000004</v>
      </c>
      <c r="CK74" s="59">
        <f t="shared" si="84"/>
        <v>50.049800796812761</v>
      </c>
      <c r="CL74" s="60">
        <v>0</v>
      </c>
      <c r="CM74" s="72">
        <f t="shared" si="85"/>
        <v>78.841216666666668</v>
      </c>
      <c r="CN74" s="81">
        <f t="shared" si="86"/>
        <v>1</v>
      </c>
      <c r="CO74" s="59">
        <f t="shared" si="87"/>
        <v>73.0319085</v>
      </c>
      <c r="CP74" s="59">
        <f t="shared" si="88"/>
        <v>1</v>
      </c>
      <c r="CQ74" s="59">
        <f t="shared" si="89"/>
        <v>30.768164999999996</v>
      </c>
      <c r="CR74" s="59">
        <f>IF(AV74&gt;0,'Look Ups'!$L$3,0)</f>
        <v>1</v>
      </c>
      <c r="CS74" s="59">
        <f t="shared" ref="CS74:CS105" si="103">IF(LPS&gt;0,0.72*(AS/(LPS^2))^0.3,0)</f>
        <v>0</v>
      </c>
      <c r="CT74" s="59">
        <f t="shared" ref="CT74:CT105" si="104">EFS*AS</f>
        <v>0</v>
      </c>
      <c r="CU74" s="59">
        <f t="shared" ref="CU74:CU105" si="105">IF(LPD&gt;0,0.72*(AD/(LPD^2))^0.3,0)</f>
        <v>0</v>
      </c>
      <c r="CV74" s="79">
        <f t="shared" ref="CV74:CV105" si="106">IF((AD-AG)&gt;0,0.3*(AD-AG)*EFD,0)</f>
        <v>0</v>
      </c>
      <c r="CW74" s="82" t="str">
        <f t="shared" si="90"/>
        <v>valid</v>
      </c>
      <c r="CX74" s="65" t="str">
        <f t="shared" si="91"/>
        <v>valid</v>
      </c>
      <c r="CY74" s="66" t="str">
        <f t="shared" si="92"/>
        <v>MGScrSp</v>
      </c>
      <c r="CZ74" s="81">
        <f t="shared" si="93"/>
        <v>103.8000735</v>
      </c>
      <c r="DA74" s="59">
        <f t="shared" si="94"/>
        <v>37.965077999999998</v>
      </c>
      <c r="DB74" s="59">
        <f t="shared" si="95"/>
        <v>16.825568083333334</v>
      </c>
      <c r="DC74" s="59">
        <f t="shared" si="96"/>
        <v>37.332326699999996</v>
      </c>
      <c r="DD74" s="59">
        <f t="shared" si="97"/>
        <v>2.6440178416666669</v>
      </c>
      <c r="DE74" s="79">
        <f t="shared" si="98"/>
        <v>108.36455779799999</v>
      </c>
      <c r="DF74" s="83">
        <f t="shared" si="99"/>
        <v>143.77641804166666</v>
      </c>
      <c r="DG74" s="412"/>
    </row>
    <row r="75" spans="1:255" ht="16.5" customHeight="1" x14ac:dyDescent="0.25">
      <c r="B75" s="414"/>
      <c r="C75" s="414" t="s">
        <v>316</v>
      </c>
      <c r="D75" s="57" t="s">
        <v>317</v>
      </c>
      <c r="E75" s="49" t="s">
        <v>318</v>
      </c>
      <c r="F75" s="415">
        <f t="shared" si="75"/>
        <v>0.82279373762784902</v>
      </c>
      <c r="G75" s="415" t="str">
        <f t="shared" ca="1" si="76"/>
        <v>Yes</v>
      </c>
      <c r="H75" s="51" t="str">
        <f t="shared" si="77"/>
        <v>Main - Genoa - Screacher - Spinnaker</v>
      </c>
      <c r="I75" s="358" t="s">
        <v>1116</v>
      </c>
      <c r="J75" s="52">
        <v>44592</v>
      </c>
      <c r="K75" s="53" t="s">
        <v>919</v>
      </c>
      <c r="L75" s="53" t="s">
        <v>614</v>
      </c>
      <c r="M75" s="54" t="s">
        <v>1115</v>
      </c>
      <c r="N75" s="75" t="s">
        <v>127</v>
      </c>
      <c r="O75" s="75"/>
      <c r="P75" s="85"/>
      <c r="Q75" s="57">
        <v>10.6</v>
      </c>
      <c r="R75" s="58"/>
      <c r="S75" s="59">
        <f t="shared" si="74"/>
        <v>0.26500000000000001</v>
      </c>
      <c r="T75" s="60">
        <v>0.1</v>
      </c>
      <c r="U75" s="60">
        <v>0</v>
      </c>
      <c r="V75" s="61">
        <f t="shared" si="67"/>
        <v>10.5</v>
      </c>
      <c r="W75" s="62">
        <f>IF(RL&gt;0,IF(RL&gt;'Look Ups'!R$7,'Look Ups'!R$8,('Look Ups'!R$3*RL^3+'Look Ups'!R$4*RL^2+'Look Ups'!R$5*RL+'Look Ups'!R$6)),0)</f>
        <v>0.29910162500000004</v>
      </c>
      <c r="X75" s="63">
        <v>3231</v>
      </c>
      <c r="Y75" s="64">
        <v>-359</v>
      </c>
      <c r="Z75" s="64"/>
      <c r="AA75" s="64"/>
      <c r="AB75" s="65">
        <f t="shared" si="78"/>
        <v>2872</v>
      </c>
      <c r="AC75" s="66">
        <f t="shared" si="79"/>
        <v>2872</v>
      </c>
      <c r="AD75" s="67" t="s">
        <v>129</v>
      </c>
      <c r="AE75" s="68" t="s">
        <v>130</v>
      </c>
      <c r="AF75" s="69" t="s">
        <v>131</v>
      </c>
      <c r="AG75" s="70">
        <f>IF(C75="",0,VLOOKUP(AD75,'Look Ups'!$B$3:$C$6,2,0)*VLOOKUP(AE75,'Look Ups'!$E$3:$F$5,2,0)*VLOOKUP(AF75,'Look Ups'!$H$3:$I$7,2,0))</f>
        <v>1</v>
      </c>
      <c r="AH75" s="71">
        <v>12.97</v>
      </c>
      <c r="AI75" s="60">
        <v>12.65</v>
      </c>
      <c r="AJ75" s="60">
        <v>3.72</v>
      </c>
      <c r="AK75" s="60">
        <v>1.22</v>
      </c>
      <c r="AL75" s="60">
        <v>0.6</v>
      </c>
      <c r="AM75" s="60">
        <v>12.68</v>
      </c>
      <c r="AN75" s="60">
        <v>0.12</v>
      </c>
      <c r="AO75" s="60">
        <v>3.8</v>
      </c>
      <c r="AP75" s="60">
        <v>0</v>
      </c>
      <c r="AQ75" s="60">
        <v>0</v>
      </c>
      <c r="AR75" s="60" t="s">
        <v>132</v>
      </c>
      <c r="AS75" s="75" t="s">
        <v>319</v>
      </c>
      <c r="AT75" s="59">
        <f t="shared" si="80"/>
        <v>12.68</v>
      </c>
      <c r="AU75" s="59">
        <f t="shared" si="81"/>
        <v>0</v>
      </c>
      <c r="AV75" s="72">
        <f>IF(C75="",0,(0.5*(_ML1*LPM)+0.5*(_ML1*HB)+0.66*(P*PR)+0.66*(_ML2*RDM)+0.66*(E*ER))*VLOOKUP(BATT,'Look Ups'!$N$3:$O$4,2,0))</f>
        <v>38.049556000000003</v>
      </c>
      <c r="AW75" s="73"/>
      <c r="AX75" s="74"/>
      <c r="AY75" s="71">
        <v>11.9</v>
      </c>
      <c r="AZ75" s="60">
        <v>3.92</v>
      </c>
      <c r="BA75" s="60">
        <v>4.55</v>
      </c>
      <c r="BB75" s="60">
        <v>0.09</v>
      </c>
      <c r="BC75" s="60">
        <v>10.18</v>
      </c>
      <c r="BD75" s="60"/>
      <c r="BE75" s="60"/>
      <c r="BF75" s="60">
        <v>-0.19</v>
      </c>
      <c r="BG75" s="60">
        <v>7.0000000000000007E-2</v>
      </c>
      <c r="BH75" s="75" t="s">
        <v>319</v>
      </c>
      <c r="BI75" s="72">
        <f t="shared" si="82"/>
        <v>22.867478000000002</v>
      </c>
      <c r="BJ75" s="76"/>
      <c r="BK75" s="77"/>
      <c r="BL75" s="78"/>
      <c r="BM75" s="78"/>
      <c r="BN75" s="77"/>
      <c r="BO75" s="78"/>
      <c r="BP75" s="77"/>
      <c r="BQ75" s="79">
        <f t="shared" si="100"/>
        <v>0</v>
      </c>
      <c r="BR75" s="80"/>
      <c r="BS75" s="77"/>
      <c r="BT75" s="77"/>
      <c r="BU75" s="77"/>
      <c r="BV75" s="87"/>
      <c r="BW75" s="77"/>
      <c r="BX75" s="77"/>
      <c r="BY75" s="72">
        <f t="shared" si="101"/>
        <v>0</v>
      </c>
      <c r="BZ75" s="73">
        <v>8.26</v>
      </c>
      <c r="CA75" s="60">
        <v>14.8</v>
      </c>
      <c r="CB75" s="60">
        <v>13.13</v>
      </c>
      <c r="CC75" s="60">
        <v>7.76</v>
      </c>
      <c r="CD75" s="65">
        <f t="shared" si="83"/>
        <v>93.946731234866832</v>
      </c>
      <c r="CE75" s="60"/>
      <c r="CF75" s="79">
        <f t="shared" si="102"/>
        <v>91.470749999999995</v>
      </c>
      <c r="CG75" s="71">
        <v>6.12</v>
      </c>
      <c r="CH75" s="60">
        <v>12.74</v>
      </c>
      <c r="CI75" s="60">
        <v>10.7</v>
      </c>
      <c r="CJ75" s="60">
        <v>3.0920000000000001</v>
      </c>
      <c r="CK75" s="59">
        <f t="shared" si="84"/>
        <v>50.522875816993462</v>
      </c>
      <c r="CL75" s="75"/>
      <c r="CM75" s="72">
        <f t="shared" si="85"/>
        <v>36.113226666666669</v>
      </c>
      <c r="CN75" s="81">
        <f t="shared" si="86"/>
        <v>1</v>
      </c>
      <c r="CO75" s="59">
        <f t="shared" si="87"/>
        <v>38.049556000000003</v>
      </c>
      <c r="CP75" s="59">
        <f t="shared" si="88"/>
        <v>1</v>
      </c>
      <c r="CQ75" s="59">
        <f t="shared" si="89"/>
        <v>22.867478000000002</v>
      </c>
      <c r="CR75" s="59">
        <f>IF(AV75&gt;0,'Look Ups'!$L$3,0)</f>
        <v>1</v>
      </c>
      <c r="CS75" s="59">
        <f t="shared" si="103"/>
        <v>0</v>
      </c>
      <c r="CT75" s="59">
        <f t="shared" si="104"/>
        <v>0</v>
      </c>
      <c r="CU75" s="59">
        <f t="shared" si="105"/>
        <v>0</v>
      </c>
      <c r="CV75" s="79">
        <f t="shared" si="106"/>
        <v>0</v>
      </c>
      <c r="CW75" s="82" t="str">
        <f t="shared" si="90"/>
        <v>valid</v>
      </c>
      <c r="CX75" s="65" t="str">
        <f t="shared" si="91"/>
        <v>valid</v>
      </c>
      <c r="CY75" s="66" t="str">
        <f t="shared" si="92"/>
        <v>MGScrSp</v>
      </c>
      <c r="CZ75" s="81">
        <f t="shared" si="93"/>
        <v>60.917034000000001</v>
      </c>
      <c r="DA75" s="59">
        <f t="shared" si="94"/>
        <v>20.580981599999998</v>
      </c>
      <c r="DB75" s="59">
        <f t="shared" si="95"/>
        <v>4.6360120333333334</v>
      </c>
      <c r="DC75" s="59">
        <f t="shared" si="96"/>
        <v>20.237965239999998</v>
      </c>
      <c r="DD75" s="59">
        <f t="shared" si="97"/>
        <v>0.72851617666666668</v>
      </c>
      <c r="DE75" s="79">
        <f t="shared" si="98"/>
        <v>62.556698424000004</v>
      </c>
      <c r="DF75" s="83">
        <f t="shared" si="99"/>
        <v>81.883515416666668</v>
      </c>
      <c r="DG75" s="412"/>
    </row>
    <row r="76" spans="1:255" ht="16.5" customHeight="1" x14ac:dyDescent="0.25">
      <c r="B76" s="414"/>
      <c r="C76" s="414" t="s">
        <v>322</v>
      </c>
      <c r="D76" s="48" t="s">
        <v>323</v>
      </c>
      <c r="E76" s="49" t="s">
        <v>324</v>
      </c>
      <c r="F76" s="415">
        <f t="shared" si="75"/>
        <v>0.84797765131802494</v>
      </c>
      <c r="G76" s="415" t="str">
        <f t="shared" ca="1" si="76"/>
        <v>Yes</v>
      </c>
      <c r="H76" s="51" t="str">
        <f t="shared" si="77"/>
        <v>Main - Genoa - Spinnaker</v>
      </c>
      <c r="I76" s="52">
        <v>43684</v>
      </c>
      <c r="J76" s="52">
        <v>43684</v>
      </c>
      <c r="K76" s="53" t="s">
        <v>904</v>
      </c>
      <c r="L76" s="53" t="s">
        <v>126</v>
      </c>
      <c r="M76" s="54"/>
      <c r="N76" s="75" t="s">
        <v>127</v>
      </c>
      <c r="O76" s="75" t="s">
        <v>128</v>
      </c>
      <c r="P76" s="56"/>
      <c r="Q76" s="57">
        <v>7.36</v>
      </c>
      <c r="R76" s="58"/>
      <c r="S76" s="59">
        <f t="shared" si="74"/>
        <v>0.18400000000000002</v>
      </c>
      <c r="T76" s="60">
        <v>0.17</v>
      </c>
      <c r="U76" s="60">
        <v>0</v>
      </c>
      <c r="V76" s="61">
        <f t="shared" si="67"/>
        <v>7.19</v>
      </c>
      <c r="W76" s="62">
        <f>IF(RL&gt;0,IF(RL&gt;'Look Ups'!R$7,'Look Ups'!R$8,('Look Ups'!R$3*RL^3+'Look Ups'!R$4*RL^2+'Look Ups'!R$5*RL+'Look Ups'!R$6)),0)</f>
        <v>0.29059639364700002</v>
      </c>
      <c r="X76" s="63">
        <v>940</v>
      </c>
      <c r="Y76" s="64"/>
      <c r="Z76" s="64"/>
      <c r="AA76" s="64"/>
      <c r="AB76" s="65">
        <f t="shared" si="78"/>
        <v>940</v>
      </c>
      <c r="AC76" s="66">
        <f t="shared" si="79"/>
        <v>940</v>
      </c>
      <c r="AD76" s="67" t="s">
        <v>129</v>
      </c>
      <c r="AE76" s="68" t="s">
        <v>130</v>
      </c>
      <c r="AF76" s="69" t="s">
        <v>131</v>
      </c>
      <c r="AG76" s="70">
        <f>IF(C76="",0,VLOOKUP(AD76,'Look Ups'!$B$3:$C$6,2,0)*VLOOKUP(AE76,'Look Ups'!$E$3:$F$5,2,0)*VLOOKUP(AF76,'Look Ups'!$H$3:$I$7,2,0))</f>
        <v>1</v>
      </c>
      <c r="AH76" s="71">
        <v>10.02</v>
      </c>
      <c r="AI76" s="60">
        <v>9.8000000000000007</v>
      </c>
      <c r="AJ76" s="60">
        <v>3</v>
      </c>
      <c r="AK76" s="60">
        <v>1.1599999999999999</v>
      </c>
      <c r="AL76" s="60">
        <v>0.44</v>
      </c>
      <c r="AM76" s="60">
        <v>9.48</v>
      </c>
      <c r="AN76" s="60">
        <v>0.05</v>
      </c>
      <c r="AO76" s="60">
        <v>3.2</v>
      </c>
      <c r="AP76" s="60">
        <v>0.2</v>
      </c>
      <c r="AQ76" s="60">
        <v>0.47</v>
      </c>
      <c r="AR76" s="60" t="s">
        <v>132</v>
      </c>
      <c r="AS76" s="75">
        <v>0</v>
      </c>
      <c r="AT76" s="59">
        <f t="shared" si="80"/>
        <v>9.68</v>
      </c>
      <c r="AU76" s="59">
        <f t="shared" si="81"/>
        <v>1.6708499999999999</v>
      </c>
      <c r="AV76" s="72">
        <f>IF(C76="",0,(0.5*(_ML1*LPM)+0.5*(_ML1*HB)+0.66*(P*PR)+0.66*(_ML2*RDM)+0.66*(E*ER))*VLOOKUP(BATT,'Look Ups'!$N$3:$O$4,2,0))</f>
        <v>24.42276</v>
      </c>
      <c r="AW76" s="73"/>
      <c r="AX76" s="74"/>
      <c r="AY76" s="71">
        <v>8.9700000000000006</v>
      </c>
      <c r="AZ76" s="60">
        <v>2.13</v>
      </c>
      <c r="BA76" s="60">
        <v>3.01</v>
      </c>
      <c r="BB76" s="60">
        <v>0.2</v>
      </c>
      <c r="BC76" s="60">
        <v>8.15</v>
      </c>
      <c r="BD76" s="60"/>
      <c r="BE76" s="60"/>
      <c r="BF76" s="60">
        <v>0.22</v>
      </c>
      <c r="BG76" s="60">
        <v>0.03</v>
      </c>
      <c r="BH76" s="75">
        <v>0</v>
      </c>
      <c r="BI76" s="72">
        <f t="shared" si="82"/>
        <v>11.311356000000002</v>
      </c>
      <c r="BJ76" s="76"/>
      <c r="BK76" s="77"/>
      <c r="BL76" s="78"/>
      <c r="BM76" s="78"/>
      <c r="BN76" s="77"/>
      <c r="BO76" s="78"/>
      <c r="BP76" s="78"/>
      <c r="BQ76" s="79">
        <f t="shared" si="100"/>
        <v>0</v>
      </c>
      <c r="BR76" s="80"/>
      <c r="BS76" s="77"/>
      <c r="BT76" s="77"/>
      <c r="BU76" s="77"/>
      <c r="BV76" s="77"/>
      <c r="BW76" s="77"/>
      <c r="BX76" s="77"/>
      <c r="BY76" s="72">
        <f t="shared" si="101"/>
        <v>0</v>
      </c>
      <c r="BZ76" s="73">
        <v>6.77</v>
      </c>
      <c r="CA76" s="60">
        <v>10.68</v>
      </c>
      <c r="CB76" s="60">
        <v>9.86</v>
      </c>
      <c r="CC76" s="60">
        <v>5.76</v>
      </c>
      <c r="CD76" s="65">
        <f t="shared" si="83"/>
        <v>85.081240768094531</v>
      </c>
      <c r="CE76" s="60">
        <v>0</v>
      </c>
      <c r="CF76" s="79">
        <f t="shared" si="102"/>
        <v>51.024783333333332</v>
      </c>
      <c r="CG76" s="71"/>
      <c r="CH76" s="60"/>
      <c r="CI76" s="60"/>
      <c r="CJ76" s="60"/>
      <c r="CK76" s="59" t="str">
        <f t="shared" si="84"/>
        <v/>
      </c>
      <c r="CL76" s="60">
        <v>0</v>
      </c>
      <c r="CM76" s="72">
        <f t="shared" si="85"/>
        <v>0</v>
      </c>
      <c r="CN76" s="81">
        <f t="shared" si="86"/>
        <v>1</v>
      </c>
      <c r="CO76" s="59">
        <f t="shared" si="87"/>
        <v>26.093610000000002</v>
      </c>
      <c r="CP76" s="59">
        <f t="shared" si="88"/>
        <v>1</v>
      </c>
      <c r="CQ76" s="59">
        <f t="shared" si="89"/>
        <v>11.311356000000002</v>
      </c>
      <c r="CR76" s="59">
        <f>IF(AV76&gt;0,'Look Ups'!$L$3,0)</f>
        <v>1</v>
      </c>
      <c r="CS76" s="59">
        <f t="shared" si="103"/>
        <v>0</v>
      </c>
      <c r="CT76" s="59">
        <f t="shared" si="104"/>
        <v>0</v>
      </c>
      <c r="CU76" s="59">
        <f t="shared" si="105"/>
        <v>0</v>
      </c>
      <c r="CV76" s="79">
        <f t="shared" si="106"/>
        <v>0</v>
      </c>
      <c r="CW76" s="82" t="str">
        <f t="shared" si="90"/>
        <v>-</v>
      </c>
      <c r="CX76" s="65" t="str">
        <f t="shared" si="91"/>
        <v>valid</v>
      </c>
      <c r="CY76" s="66" t="str">
        <f t="shared" si="92"/>
        <v>MGSp</v>
      </c>
      <c r="CZ76" s="81">
        <f t="shared" si="93"/>
        <v>37.404966000000002</v>
      </c>
      <c r="DA76" s="59">
        <f t="shared" si="94"/>
        <v>11.914028199999999</v>
      </c>
      <c r="DB76" s="59">
        <f t="shared" si="95"/>
        <v>0</v>
      </c>
      <c r="DC76" s="59">
        <f t="shared" si="96"/>
        <v>11.715461063333331</v>
      </c>
      <c r="DD76" s="59">
        <f t="shared" si="97"/>
        <v>0</v>
      </c>
      <c r="DE76" s="79">
        <f t="shared" si="98"/>
        <v>39.001449432000001</v>
      </c>
      <c r="DF76" s="83">
        <f t="shared" si="99"/>
        <v>49.318994199999999</v>
      </c>
      <c r="DG76" s="412"/>
    </row>
    <row r="77" spans="1:255" ht="16.5" customHeight="1" x14ac:dyDescent="0.25">
      <c r="B77" s="414"/>
      <c r="C77" s="414" t="s">
        <v>1112</v>
      </c>
      <c r="D77" s="48" t="s">
        <v>167</v>
      </c>
      <c r="E77" s="49" t="s">
        <v>1111</v>
      </c>
      <c r="F77" s="415">
        <f t="shared" si="75"/>
        <v>0.84470627236299989</v>
      </c>
      <c r="G77" s="415" t="str">
        <f t="shared" ca="1" si="76"/>
        <v>Yes</v>
      </c>
      <c r="H77" s="51" t="str">
        <f t="shared" si="77"/>
        <v>Main - Genoa - Spinnaker</v>
      </c>
      <c r="I77" s="52">
        <v>44903</v>
      </c>
      <c r="J77" s="52">
        <v>44941</v>
      </c>
      <c r="K77" s="53" t="s">
        <v>841</v>
      </c>
      <c r="L77" s="53" t="s">
        <v>1031</v>
      </c>
      <c r="M77" s="54"/>
      <c r="N77" s="75" t="s">
        <v>149</v>
      </c>
      <c r="O77" s="75" t="s">
        <v>167</v>
      </c>
      <c r="P77" s="85"/>
      <c r="Q77" s="57">
        <v>8.1</v>
      </c>
      <c r="R77" s="58"/>
      <c r="S77" s="59">
        <f t="shared" si="74"/>
        <v>0.20250000000000001</v>
      </c>
      <c r="T77" s="60">
        <v>0.15</v>
      </c>
      <c r="U77" s="60"/>
      <c r="V77" s="61">
        <f t="shared" si="67"/>
        <v>7.9499999999999993</v>
      </c>
      <c r="W77" s="62">
        <f>IF(RL&gt;0,IF(RL&gt;'Look Ups'!R$7,'Look Ups'!R$8,('Look Ups'!R$3*RL^3+'Look Ups'!R$4*RL^2+'Look Ups'!R$5*RL+'Look Ups'!R$6)),0)</f>
        <v>0.29362267587500002</v>
      </c>
      <c r="X77" s="63">
        <v>1294</v>
      </c>
      <c r="Y77" s="64"/>
      <c r="Z77" s="320"/>
      <c r="AA77" s="320"/>
      <c r="AB77" s="65">
        <f t="shared" si="78"/>
        <v>1294</v>
      </c>
      <c r="AC77" s="66">
        <f t="shared" si="79"/>
        <v>1294</v>
      </c>
      <c r="AD77" s="67" t="s">
        <v>129</v>
      </c>
      <c r="AE77" s="68" t="s">
        <v>130</v>
      </c>
      <c r="AF77" s="69" t="s">
        <v>131</v>
      </c>
      <c r="AG77" s="70">
        <f>IF(C77="",0,VLOOKUP(AD77,'Look Ups'!$B$3:$C$6,2,0)*VLOOKUP(AE77,'Look Ups'!$E$3:$F$5,2,0)*VLOOKUP(AF77,'Look Ups'!$H$3:$I$7,2,0))</f>
        <v>1</v>
      </c>
      <c r="AH77" s="71">
        <v>11.15</v>
      </c>
      <c r="AI77" s="60">
        <v>10.09</v>
      </c>
      <c r="AJ77" s="60">
        <v>3.25</v>
      </c>
      <c r="AK77" s="60">
        <v>1.3</v>
      </c>
      <c r="AL77" s="60">
        <v>0.39</v>
      </c>
      <c r="AM77" s="60">
        <v>11.1</v>
      </c>
      <c r="AN77" s="60">
        <v>0.18</v>
      </c>
      <c r="AO77" s="60">
        <v>3.28</v>
      </c>
      <c r="AP77" s="60">
        <v>0</v>
      </c>
      <c r="AQ77" s="60">
        <v>0.5</v>
      </c>
      <c r="AR77" s="60" t="s">
        <v>132</v>
      </c>
      <c r="AS77" s="75"/>
      <c r="AT77" s="59">
        <f t="shared" si="80"/>
        <v>11.1</v>
      </c>
      <c r="AU77" s="59">
        <f t="shared" si="81"/>
        <v>2.0812499999999998</v>
      </c>
      <c r="AV77" s="72">
        <f>IF(C77="",0,(0.5*(_ML1*LPM)+0.5*(_ML1*HB)+0.66*(P*PR)+0.66*(_ML2*RDM)+0.66*(E*ER))*VLOOKUP(BATT,'Look Ups'!$N$3:$O$4,2,0))</f>
        <v>29.282096000000003</v>
      </c>
      <c r="AW77" s="73"/>
      <c r="AX77" s="74"/>
      <c r="AY77" s="71">
        <v>8.1999999999999993</v>
      </c>
      <c r="AZ77" s="60">
        <v>2.71</v>
      </c>
      <c r="BA77" s="60">
        <v>2.8</v>
      </c>
      <c r="BB77" s="60">
        <v>0</v>
      </c>
      <c r="BC77" s="60">
        <v>7.85</v>
      </c>
      <c r="BD77" s="60">
        <v>7.81</v>
      </c>
      <c r="BE77" s="60">
        <v>0.35</v>
      </c>
      <c r="BF77" s="60">
        <v>0</v>
      </c>
      <c r="BG77" s="60">
        <v>0</v>
      </c>
      <c r="BH77" s="75"/>
      <c r="BI77" s="72">
        <f t="shared" si="82"/>
        <v>12.484749999999998</v>
      </c>
      <c r="BJ77" s="76"/>
      <c r="BK77" s="77"/>
      <c r="BL77" s="78"/>
      <c r="BM77" s="78"/>
      <c r="BN77" s="77"/>
      <c r="BO77" s="78"/>
      <c r="BP77" s="78"/>
      <c r="BQ77" s="79">
        <f t="shared" si="100"/>
        <v>0</v>
      </c>
      <c r="BR77" s="80"/>
      <c r="BS77" s="77"/>
      <c r="BT77" s="77"/>
      <c r="BU77" s="77"/>
      <c r="BV77" s="77"/>
      <c r="BW77" s="77"/>
      <c r="BX77" s="77"/>
      <c r="BY77" s="72">
        <f t="shared" si="101"/>
        <v>0</v>
      </c>
      <c r="BZ77" s="73">
        <v>7.55</v>
      </c>
      <c r="CA77" s="60">
        <v>12.03</v>
      </c>
      <c r="CB77" s="60">
        <v>10.07</v>
      </c>
      <c r="CC77" s="60">
        <v>6.19</v>
      </c>
      <c r="CD77" s="65">
        <f t="shared" si="83"/>
        <v>81.986754966887418</v>
      </c>
      <c r="CE77" s="60"/>
      <c r="CF77" s="79">
        <f t="shared" si="102"/>
        <v>59.504250000000013</v>
      </c>
      <c r="CG77" s="71"/>
      <c r="CH77" s="60"/>
      <c r="CI77" s="60"/>
      <c r="CJ77" s="60"/>
      <c r="CK77" s="59" t="str">
        <f t="shared" si="84"/>
        <v/>
      </c>
      <c r="CL77" s="75"/>
      <c r="CM77" s="72">
        <f t="shared" si="85"/>
        <v>0</v>
      </c>
      <c r="CN77" s="81">
        <f t="shared" si="86"/>
        <v>1</v>
      </c>
      <c r="CO77" s="59">
        <f t="shared" si="87"/>
        <v>31.363346000000007</v>
      </c>
      <c r="CP77" s="59">
        <f t="shared" si="88"/>
        <v>1</v>
      </c>
      <c r="CQ77" s="59">
        <f t="shared" si="89"/>
        <v>12.484749999999998</v>
      </c>
      <c r="CR77" s="59">
        <f>IF(AV77&gt;0,'Look Ups'!$L$3,0)</f>
        <v>1</v>
      </c>
      <c r="CS77" s="59">
        <f t="shared" si="103"/>
        <v>0</v>
      </c>
      <c r="CT77" s="59">
        <f t="shared" si="104"/>
        <v>0</v>
      </c>
      <c r="CU77" s="59">
        <f t="shared" si="105"/>
        <v>0</v>
      </c>
      <c r="CV77" s="79">
        <f t="shared" si="106"/>
        <v>0</v>
      </c>
      <c r="CW77" s="82" t="str">
        <f t="shared" si="90"/>
        <v>-</v>
      </c>
      <c r="CX77" s="65" t="str">
        <f t="shared" si="91"/>
        <v>valid</v>
      </c>
      <c r="CY77" s="66" t="str">
        <f t="shared" si="92"/>
        <v>MGSp</v>
      </c>
      <c r="CZ77" s="81">
        <f t="shared" si="93"/>
        <v>43.848096000000005</v>
      </c>
      <c r="DA77" s="59">
        <f t="shared" si="94"/>
        <v>14.105850000000004</v>
      </c>
      <c r="DB77" s="59">
        <f t="shared" si="95"/>
        <v>0</v>
      </c>
      <c r="DC77" s="59">
        <f t="shared" si="96"/>
        <v>13.870752500000004</v>
      </c>
      <c r="DD77" s="59">
        <f t="shared" si="97"/>
        <v>0</v>
      </c>
      <c r="DE77" s="79">
        <f t="shared" si="98"/>
        <v>45.886984368000007</v>
      </c>
      <c r="DF77" s="83">
        <f t="shared" si="99"/>
        <v>57.953946000000009</v>
      </c>
      <c r="DG77" s="412"/>
    </row>
    <row r="78" spans="1:255" ht="16.5" customHeight="1" x14ac:dyDescent="0.3">
      <c r="B78" s="414"/>
      <c r="C78" s="414" t="s">
        <v>334</v>
      </c>
      <c r="D78" s="48" t="s">
        <v>335</v>
      </c>
      <c r="E78" s="49" t="s">
        <v>336</v>
      </c>
      <c r="F78" s="415">
        <f t="shared" si="75"/>
        <v>0.78510428583379377</v>
      </c>
      <c r="G78" s="415" t="str">
        <f t="shared" ca="1" si="76"/>
        <v>No</v>
      </c>
      <c r="H78" s="51" t="str">
        <f t="shared" si="77"/>
        <v>Main - Genoa - Spinnaker</v>
      </c>
      <c r="I78" s="358">
        <v>39739</v>
      </c>
      <c r="J78" s="52">
        <v>39748</v>
      </c>
      <c r="K78" s="53" t="s">
        <v>205</v>
      </c>
      <c r="L78" s="53" t="s">
        <v>143</v>
      </c>
      <c r="M78" s="368" t="s">
        <v>1115</v>
      </c>
      <c r="N78" s="55" t="s">
        <v>127</v>
      </c>
      <c r="O78" s="55" t="s">
        <v>138</v>
      </c>
      <c r="P78" s="56"/>
      <c r="Q78" s="57">
        <v>7.85</v>
      </c>
      <c r="R78" s="58"/>
      <c r="S78" s="59">
        <f t="shared" si="74"/>
        <v>0.19625000000000001</v>
      </c>
      <c r="T78" s="60">
        <v>0.19</v>
      </c>
      <c r="U78" s="60"/>
      <c r="V78" s="61">
        <f t="shared" ref="V78:V83" si="107">IF((LOAA&gt;LOA),LOAA,LOA-FOC-AOC)</f>
        <v>7.6599999999999993</v>
      </c>
      <c r="W78" s="62">
        <f>IF(RL&gt;0,IF(RL&gt;'Look Ups'!R$7,'Look Ups'!R$8,('Look Ups'!R$3*RL^3+'Look Ups'!R$4*RL^2+'Look Ups'!R$5*RL+'Look Ups'!R$6)),0)</f>
        <v>0.292556178168</v>
      </c>
      <c r="X78" s="63">
        <v>1300</v>
      </c>
      <c r="Y78" s="64"/>
      <c r="Z78" s="367"/>
      <c r="AA78" s="367"/>
      <c r="AB78" s="65">
        <f t="shared" si="78"/>
        <v>1300</v>
      </c>
      <c r="AC78" s="66">
        <f t="shared" si="79"/>
        <v>1300</v>
      </c>
      <c r="AD78" s="67" t="s">
        <v>154</v>
      </c>
      <c r="AE78" s="68" t="s">
        <v>130</v>
      </c>
      <c r="AF78" s="69" t="s">
        <v>131</v>
      </c>
      <c r="AG78" s="70">
        <f>IF(C78="",0,VLOOKUP(AD78,'Look Ups'!$B$3:$C$6,2,0)*VLOOKUP(AE78,'Look Ups'!$E$3:$F$5,2,0)*VLOOKUP(AF78,'Look Ups'!$H$3:$I$7,2,0))</f>
        <v>0.99</v>
      </c>
      <c r="AH78" s="71">
        <v>9.7799999999999994</v>
      </c>
      <c r="AI78" s="60">
        <v>9.5250000000000004</v>
      </c>
      <c r="AJ78" s="60">
        <v>3.17</v>
      </c>
      <c r="AK78" s="60">
        <v>1.03</v>
      </c>
      <c r="AL78" s="60">
        <v>0.45</v>
      </c>
      <c r="AM78" s="60">
        <v>9.64</v>
      </c>
      <c r="AN78" s="60">
        <v>0.09</v>
      </c>
      <c r="AO78" s="60">
        <v>3.25</v>
      </c>
      <c r="AP78" s="60">
        <v>0.03</v>
      </c>
      <c r="AQ78" s="60">
        <v>0.49</v>
      </c>
      <c r="AR78" s="60" t="s">
        <v>132</v>
      </c>
      <c r="AS78" s="75"/>
      <c r="AT78" s="59">
        <f t="shared" si="80"/>
        <v>9.67</v>
      </c>
      <c r="AU78" s="59">
        <f t="shared" si="81"/>
        <v>1.77135</v>
      </c>
      <c r="AV78" s="72">
        <f>IF(C78="",0,(0.5*(_ML1*LPM)+0.5*(_ML1*HB)+0.66*(P*PR)+0.66*(_ML2*RDM)+0.66*(E*ER))*VLOOKUP(BATT,'Look Ups'!$N$3:$O$4,2,0))</f>
        <v>24.003890999999999</v>
      </c>
      <c r="AW78" s="73"/>
      <c r="AX78" s="74"/>
      <c r="AY78" s="71">
        <v>9.1999999999999993</v>
      </c>
      <c r="AZ78" s="60">
        <v>2.83</v>
      </c>
      <c r="BA78" s="60">
        <v>3.21</v>
      </c>
      <c r="BB78" s="60">
        <v>0.10300000000000001</v>
      </c>
      <c r="BC78" s="60">
        <v>8.15</v>
      </c>
      <c r="BD78" s="60"/>
      <c r="BE78" s="60"/>
      <c r="BF78" s="60">
        <v>0.04</v>
      </c>
      <c r="BG78" s="60">
        <v>0</v>
      </c>
      <c r="BH78" s="75"/>
      <c r="BI78" s="72">
        <f t="shared" si="82"/>
        <v>13.451375799999997</v>
      </c>
      <c r="BJ78" s="76"/>
      <c r="BK78" s="77"/>
      <c r="BL78" s="78"/>
      <c r="BM78" s="78"/>
      <c r="BN78" s="77"/>
      <c r="BO78" s="78"/>
      <c r="BP78" s="78"/>
      <c r="BQ78" s="79">
        <f t="shared" si="100"/>
        <v>0</v>
      </c>
      <c r="BR78" s="80"/>
      <c r="BS78" s="77"/>
      <c r="BT78" s="77"/>
      <c r="BU78" s="77"/>
      <c r="BV78" s="77"/>
      <c r="BW78" s="77"/>
      <c r="BX78" s="77"/>
      <c r="BY78" s="72">
        <f t="shared" si="101"/>
        <v>0</v>
      </c>
      <c r="BZ78" s="73">
        <v>6.76</v>
      </c>
      <c r="CA78" s="60">
        <v>11.26</v>
      </c>
      <c r="CB78" s="60">
        <v>9.3800000000000008</v>
      </c>
      <c r="CC78" s="60">
        <v>6.13</v>
      </c>
      <c r="CD78" s="65">
        <f t="shared" si="83"/>
        <v>90.680473372781066</v>
      </c>
      <c r="CE78" s="60"/>
      <c r="CF78" s="79">
        <f t="shared" si="102"/>
        <v>53.801600000000001</v>
      </c>
      <c r="CG78" s="71"/>
      <c r="CH78" s="60"/>
      <c r="CI78" s="60"/>
      <c r="CJ78" s="60"/>
      <c r="CK78" s="59" t="str">
        <f t="shared" si="84"/>
        <v/>
      </c>
      <c r="CL78" s="60"/>
      <c r="CM78" s="72">
        <f t="shared" si="85"/>
        <v>0</v>
      </c>
      <c r="CN78" s="81">
        <f t="shared" si="86"/>
        <v>1</v>
      </c>
      <c r="CO78" s="59">
        <f t="shared" si="87"/>
        <v>25.775241000000001</v>
      </c>
      <c r="CP78" s="59">
        <f t="shared" si="88"/>
        <v>1</v>
      </c>
      <c r="CQ78" s="59">
        <f t="shared" si="89"/>
        <v>13.451375799999997</v>
      </c>
      <c r="CR78" s="59">
        <f>IF(AV78&gt;0,'Look Ups'!$L$3,0)</f>
        <v>1</v>
      </c>
      <c r="CS78" s="59">
        <f t="shared" si="103"/>
        <v>0</v>
      </c>
      <c r="CT78" s="59">
        <f t="shared" si="104"/>
        <v>0</v>
      </c>
      <c r="CU78" s="59">
        <f t="shared" si="105"/>
        <v>0</v>
      </c>
      <c r="CV78" s="79">
        <f t="shared" si="106"/>
        <v>0</v>
      </c>
      <c r="CW78" s="82" t="str">
        <f t="shared" si="90"/>
        <v>-</v>
      </c>
      <c r="CX78" s="65" t="str">
        <f t="shared" si="91"/>
        <v>valid</v>
      </c>
      <c r="CY78" s="66" t="str">
        <f t="shared" si="92"/>
        <v>MGSp</v>
      </c>
      <c r="CZ78" s="81">
        <f t="shared" si="93"/>
        <v>39.226616800000002</v>
      </c>
      <c r="DA78" s="59">
        <f t="shared" si="94"/>
        <v>12.10506726</v>
      </c>
      <c r="DB78" s="59">
        <f t="shared" si="95"/>
        <v>0</v>
      </c>
      <c r="DC78" s="59">
        <f t="shared" si="96"/>
        <v>11.903316138999999</v>
      </c>
      <c r="DD78" s="59">
        <f t="shared" si="97"/>
        <v>0</v>
      </c>
      <c r="DE78" s="79">
        <f t="shared" si="98"/>
        <v>40.5575942416</v>
      </c>
      <c r="DF78" s="83">
        <f t="shared" si="99"/>
        <v>51.331684060000001</v>
      </c>
      <c r="DG78" s="412"/>
    </row>
    <row r="79" spans="1:255" ht="16.5" customHeight="1" x14ac:dyDescent="0.35">
      <c r="B79" s="414"/>
      <c r="C79" s="414" t="s">
        <v>842</v>
      </c>
      <c r="D79" s="84" t="s">
        <v>843</v>
      </c>
      <c r="E79" s="49" t="s">
        <v>844</v>
      </c>
      <c r="F79" s="415">
        <f t="shared" si="75"/>
        <v>0.73274064356131141</v>
      </c>
      <c r="G79" s="415" t="str">
        <f t="shared" ca="1" si="76"/>
        <v>Yes</v>
      </c>
      <c r="H79" s="51" t="str">
        <f t="shared" si="77"/>
        <v>Main - Genoa - Spinnaker</v>
      </c>
      <c r="I79" s="52">
        <v>42667</v>
      </c>
      <c r="J79" s="52">
        <v>42671</v>
      </c>
      <c r="K79" s="240" t="s">
        <v>260</v>
      </c>
      <c r="L79" s="53" t="s">
        <v>841</v>
      </c>
      <c r="M79" s="54"/>
      <c r="N79" s="55" t="s">
        <v>149</v>
      </c>
      <c r="O79" s="55"/>
      <c r="P79" s="85"/>
      <c r="Q79" s="57">
        <v>14.36</v>
      </c>
      <c r="R79" s="58"/>
      <c r="S79" s="59">
        <f t="shared" si="74"/>
        <v>0.35899999999999999</v>
      </c>
      <c r="T79" s="60">
        <v>0.1</v>
      </c>
      <c r="U79" s="60">
        <v>0</v>
      </c>
      <c r="V79" s="61">
        <f t="shared" si="107"/>
        <v>14.26</v>
      </c>
      <c r="W79" s="62">
        <f>IF(RL&gt;0,IF(RL&gt;'Look Ups'!R$7,'Look Ups'!R$8,('Look Ups'!R$3*RL^3+'Look Ups'!R$4*RL^2+'Look Ups'!R$5*RL+'Look Ups'!R$6)),0)</f>
        <v>0.3</v>
      </c>
      <c r="X79" s="63">
        <v>10382</v>
      </c>
      <c r="Y79" s="64"/>
      <c r="Z79" s="64"/>
      <c r="AA79" s="64"/>
      <c r="AB79" s="65">
        <f t="shared" si="78"/>
        <v>10382</v>
      </c>
      <c r="AC79" s="66">
        <f t="shared" si="79"/>
        <v>10382</v>
      </c>
      <c r="AD79" s="67" t="s">
        <v>129</v>
      </c>
      <c r="AE79" s="68" t="s">
        <v>130</v>
      </c>
      <c r="AF79" s="69" t="s">
        <v>161</v>
      </c>
      <c r="AG79" s="70">
        <f>IF(C79="",0,VLOOKUP(AD79,'Look Ups'!$B$3:$C$6,2,0)*VLOOKUP(AE79,'Look Ups'!$E$3:$F$5,2,0)*VLOOKUP(AF79,'Look Ups'!$H$3:$I$7,2,0))</f>
        <v>0.99</v>
      </c>
      <c r="AH79" s="71">
        <v>17.36</v>
      </c>
      <c r="AI79" s="60">
        <v>17.03</v>
      </c>
      <c r="AJ79" s="60">
        <v>5.43</v>
      </c>
      <c r="AK79" s="60">
        <v>1.44</v>
      </c>
      <c r="AL79" s="60">
        <v>0.38</v>
      </c>
      <c r="AM79" s="60">
        <v>16.43</v>
      </c>
      <c r="AN79" s="60">
        <v>0.19</v>
      </c>
      <c r="AO79" s="60">
        <v>5.75</v>
      </c>
      <c r="AP79" s="60">
        <v>0</v>
      </c>
      <c r="AQ79" s="60"/>
      <c r="AR79" s="60" t="s">
        <v>132</v>
      </c>
      <c r="AS79" s="75">
        <v>0</v>
      </c>
      <c r="AT79" s="59">
        <f t="shared" si="80"/>
        <v>16.43</v>
      </c>
      <c r="AU79" s="59">
        <f t="shared" si="81"/>
        <v>0</v>
      </c>
      <c r="AV79" s="72">
        <f>IF(C79="",0,(0.5*(_ML1*LPM)+0.5*(_ML1*HB)+0.66*(P*PR)+0.66*(_ML2*RDM)+0.66*(E*ER))*VLOOKUP(BATT,'Look Ups'!$N$3:$O$4,2,0))</f>
        <v>65.963045999999991</v>
      </c>
      <c r="AW79" s="73"/>
      <c r="AX79" s="74"/>
      <c r="AY79" s="71">
        <v>15.2</v>
      </c>
      <c r="AZ79" s="60">
        <v>6.18</v>
      </c>
      <c r="BA79" s="60">
        <v>7.07</v>
      </c>
      <c r="BB79" s="60">
        <v>0.15</v>
      </c>
      <c r="BC79" s="60">
        <v>13.13</v>
      </c>
      <c r="BD79" s="60"/>
      <c r="BE79" s="60"/>
      <c r="BF79" s="60">
        <v>-0.27</v>
      </c>
      <c r="BG79" s="60">
        <v>0.11</v>
      </c>
      <c r="BH79" s="75">
        <v>0</v>
      </c>
      <c r="BI79" s="72">
        <f t="shared" si="82"/>
        <v>46.431684000000004</v>
      </c>
      <c r="BJ79" s="76"/>
      <c r="BK79" s="77"/>
      <c r="BL79" s="78"/>
      <c r="BM79" s="78"/>
      <c r="BN79" s="77"/>
      <c r="BO79" s="78"/>
      <c r="BP79" s="78"/>
      <c r="BQ79" s="79">
        <f t="shared" si="100"/>
        <v>0</v>
      </c>
      <c r="BR79" s="80"/>
      <c r="BS79" s="77"/>
      <c r="BT79" s="77"/>
      <c r="BU79" s="77"/>
      <c r="BV79" s="77"/>
      <c r="BW79" s="77"/>
      <c r="BX79" s="77"/>
      <c r="BY79" s="72">
        <f t="shared" si="101"/>
        <v>0</v>
      </c>
      <c r="BZ79" s="73">
        <v>11.002000000000001</v>
      </c>
      <c r="CA79" s="60">
        <v>17.48</v>
      </c>
      <c r="CB79" s="60">
        <v>14.43</v>
      </c>
      <c r="CC79" s="60">
        <v>10.63</v>
      </c>
      <c r="CD79" s="65">
        <f t="shared" si="83"/>
        <v>96.618796582439558</v>
      </c>
      <c r="CE79" s="75">
        <v>0</v>
      </c>
      <c r="CF79" s="79">
        <f t="shared" si="102"/>
        <v>142.32391833333332</v>
      </c>
      <c r="CG79" s="71"/>
      <c r="CH79" s="60"/>
      <c r="CI79" s="60"/>
      <c r="CJ79" s="60"/>
      <c r="CK79" s="59" t="str">
        <f t="shared" si="84"/>
        <v/>
      </c>
      <c r="CL79" s="75">
        <v>0</v>
      </c>
      <c r="CM79" s="72">
        <f t="shared" si="85"/>
        <v>0</v>
      </c>
      <c r="CN79" s="81">
        <f t="shared" si="86"/>
        <v>1</v>
      </c>
      <c r="CO79" s="59">
        <f t="shared" si="87"/>
        <v>65.963045999999991</v>
      </c>
      <c r="CP79" s="59">
        <f t="shared" si="88"/>
        <v>1</v>
      </c>
      <c r="CQ79" s="59">
        <f t="shared" si="89"/>
        <v>46.431684000000004</v>
      </c>
      <c r="CR79" s="59">
        <f>IF(AV79&gt;0,'Look Ups'!$L$3,0)</f>
        <v>1</v>
      </c>
      <c r="CS79" s="59">
        <f t="shared" si="103"/>
        <v>0</v>
      </c>
      <c r="CT79" s="59">
        <f t="shared" si="104"/>
        <v>0</v>
      </c>
      <c r="CU79" s="59">
        <f t="shared" si="105"/>
        <v>0</v>
      </c>
      <c r="CV79" s="79">
        <f t="shared" si="106"/>
        <v>0</v>
      </c>
      <c r="CW79" s="82" t="str">
        <f t="shared" si="90"/>
        <v>-</v>
      </c>
      <c r="CX79" s="65" t="str">
        <f t="shared" si="91"/>
        <v>valid</v>
      </c>
      <c r="CY79" s="66" t="str">
        <f t="shared" si="92"/>
        <v>MGSp</v>
      </c>
      <c r="CZ79" s="81">
        <f t="shared" si="93"/>
        <v>112.39473</v>
      </c>
      <c r="DA79" s="59">
        <f t="shared" si="94"/>
        <v>28.767670299999995</v>
      </c>
      <c r="DB79" s="59">
        <f t="shared" si="95"/>
        <v>0</v>
      </c>
      <c r="DC79" s="59">
        <f t="shared" si="96"/>
        <v>28.288209128333328</v>
      </c>
      <c r="DD79" s="59">
        <f t="shared" si="97"/>
        <v>0</v>
      </c>
      <c r="DE79" s="79">
        <f t="shared" si="98"/>
        <v>114.50411709599999</v>
      </c>
      <c r="DF79" s="83">
        <f t="shared" si="99"/>
        <v>141.1624003</v>
      </c>
      <c r="DG79" s="412"/>
    </row>
    <row r="80" spans="1:255" ht="16.5" customHeight="1" x14ac:dyDescent="0.25">
      <c r="B80" s="414"/>
      <c r="C80" s="414" t="s">
        <v>983</v>
      </c>
      <c r="D80" s="175" t="s">
        <v>985</v>
      </c>
      <c r="E80" s="321" t="s">
        <v>984</v>
      </c>
      <c r="F80" s="415">
        <f t="shared" si="75"/>
        <v>0.81799594202308157</v>
      </c>
      <c r="G80" s="415" t="str">
        <f t="shared" ca="1" si="76"/>
        <v>Yes</v>
      </c>
      <c r="H80" s="51" t="str">
        <f t="shared" si="77"/>
        <v>Main - Genoa - Screacher - Spinnaker</v>
      </c>
      <c r="I80" s="52">
        <v>43682</v>
      </c>
      <c r="J80" s="52">
        <v>43682</v>
      </c>
      <c r="K80" s="53" t="s">
        <v>904</v>
      </c>
      <c r="L80" s="53" t="s">
        <v>841</v>
      </c>
      <c r="M80" s="54"/>
      <c r="N80" s="55" t="s">
        <v>127</v>
      </c>
      <c r="O80" s="55" t="s">
        <v>128</v>
      </c>
      <c r="P80" s="86"/>
      <c r="Q80" s="57">
        <v>7.19</v>
      </c>
      <c r="R80" s="58"/>
      <c r="S80" s="59">
        <f t="shared" si="74"/>
        <v>0.17975000000000002</v>
      </c>
      <c r="T80" s="60"/>
      <c r="U80" s="60">
        <v>0</v>
      </c>
      <c r="V80" s="61">
        <f t="shared" si="107"/>
        <v>7.19</v>
      </c>
      <c r="W80" s="62">
        <f>IF(RL&gt;0,IF(RL&gt;'Look Ups'!R$7,'Look Ups'!R$8,('Look Ups'!R$3*RL^3+'Look Ups'!R$4*RL^2+'Look Ups'!R$5*RL+'Look Ups'!R$6)),0)</f>
        <v>0.29059639364700002</v>
      </c>
      <c r="X80" s="63">
        <v>965</v>
      </c>
      <c r="Y80" s="64"/>
      <c r="Z80" s="64"/>
      <c r="AA80" s="64"/>
      <c r="AB80" s="65">
        <f t="shared" si="78"/>
        <v>965</v>
      </c>
      <c r="AC80" s="66">
        <f t="shared" si="79"/>
        <v>965</v>
      </c>
      <c r="AD80" s="67" t="s">
        <v>129</v>
      </c>
      <c r="AE80" s="68" t="s">
        <v>130</v>
      </c>
      <c r="AF80" s="69" t="s">
        <v>131</v>
      </c>
      <c r="AG80" s="70">
        <f>IF(C80="",0,VLOOKUP(AD80,'Look Ups'!$B$3:$C$6,2,0)*VLOOKUP(AE80,'Look Ups'!$E$3:$F$5,2,0)*VLOOKUP(AF80,'Look Ups'!$H$3:$I$7,2,0))</f>
        <v>1</v>
      </c>
      <c r="AH80" s="71">
        <v>10.02</v>
      </c>
      <c r="AI80" s="60">
        <v>9.8000000000000007</v>
      </c>
      <c r="AJ80" s="60">
        <v>3</v>
      </c>
      <c r="AK80" s="60">
        <v>1.1599999999999999</v>
      </c>
      <c r="AL80" s="60">
        <v>0.44</v>
      </c>
      <c r="AM80" s="60">
        <v>9.48</v>
      </c>
      <c r="AN80" s="60">
        <v>0.05</v>
      </c>
      <c r="AO80" s="60">
        <v>3.2</v>
      </c>
      <c r="AP80" s="60">
        <v>0.2</v>
      </c>
      <c r="AQ80" s="60"/>
      <c r="AR80" s="60" t="s">
        <v>132</v>
      </c>
      <c r="AS80" s="75"/>
      <c r="AT80" s="59">
        <f t="shared" si="80"/>
        <v>9.68</v>
      </c>
      <c r="AU80" s="59">
        <f t="shared" si="81"/>
        <v>0</v>
      </c>
      <c r="AV80" s="72">
        <f>IF(C80="",0,(0.5*(_ML1*LPM)+0.5*(_ML1*HB)+0.66*(P*PR)+0.66*(_ML2*RDM)+0.66*(E*ER))*VLOOKUP(BATT,'Look Ups'!$N$3:$O$4,2,0))</f>
        <v>24.42276</v>
      </c>
      <c r="AW80" s="73"/>
      <c r="AX80" s="74"/>
      <c r="AY80" s="71">
        <v>7.6</v>
      </c>
      <c r="AZ80" s="60">
        <v>2.93</v>
      </c>
      <c r="BA80" s="60">
        <v>3.18</v>
      </c>
      <c r="BB80" s="60">
        <v>0.1</v>
      </c>
      <c r="BC80" s="60">
        <v>6.88</v>
      </c>
      <c r="BD80" s="60"/>
      <c r="BE80" s="60"/>
      <c r="BF80" s="60">
        <v>-0.1</v>
      </c>
      <c r="BG80" s="60">
        <v>0.06</v>
      </c>
      <c r="BH80" s="75"/>
      <c r="BI80" s="72">
        <f t="shared" si="82"/>
        <v>11.190760000000001</v>
      </c>
      <c r="BJ80" s="76"/>
      <c r="BK80" s="77"/>
      <c r="BL80" s="78"/>
      <c r="BM80" s="78"/>
      <c r="BN80" s="77"/>
      <c r="BO80" s="78"/>
      <c r="BP80" s="78"/>
      <c r="BQ80" s="79">
        <f t="shared" si="100"/>
        <v>0</v>
      </c>
      <c r="BR80" s="80"/>
      <c r="BS80" s="77"/>
      <c r="BT80" s="77"/>
      <c r="BU80" s="77"/>
      <c r="BV80" s="77"/>
      <c r="BW80" s="77"/>
      <c r="BX80" s="77"/>
      <c r="BY80" s="72">
        <f t="shared" si="101"/>
        <v>0</v>
      </c>
      <c r="BZ80" s="73">
        <v>6.04</v>
      </c>
      <c r="CA80" s="60">
        <v>10.9</v>
      </c>
      <c r="CB80" s="60">
        <v>9.18</v>
      </c>
      <c r="CC80" s="60">
        <v>5.31</v>
      </c>
      <c r="CD80" s="65">
        <f t="shared" si="83"/>
        <v>87.9139072847682</v>
      </c>
      <c r="CE80" s="60">
        <v>0</v>
      </c>
      <c r="CF80" s="79">
        <f t="shared" si="102"/>
        <v>45.648533333333326</v>
      </c>
      <c r="CG80" s="71">
        <v>4.05</v>
      </c>
      <c r="CH80" s="60">
        <v>7.66</v>
      </c>
      <c r="CI80" s="60">
        <v>6.58</v>
      </c>
      <c r="CJ80" s="60">
        <v>2.37</v>
      </c>
      <c r="CK80" s="59">
        <f t="shared" si="84"/>
        <v>58.518518518518526</v>
      </c>
      <c r="CL80" s="60"/>
      <c r="CM80" s="72">
        <f t="shared" si="85"/>
        <v>16.055599999999998</v>
      </c>
      <c r="CN80" s="81">
        <f t="shared" si="86"/>
        <v>1</v>
      </c>
      <c r="CO80" s="59">
        <f t="shared" si="87"/>
        <v>24.42276</v>
      </c>
      <c r="CP80" s="59">
        <f t="shared" si="88"/>
        <v>1</v>
      </c>
      <c r="CQ80" s="59">
        <f t="shared" si="89"/>
        <v>11.190760000000001</v>
      </c>
      <c r="CR80" s="59">
        <f>IF(AV80&gt;0,'Look Ups'!$L$3,0)</f>
        <v>1</v>
      </c>
      <c r="CS80" s="59">
        <f t="shared" si="103"/>
        <v>0</v>
      </c>
      <c r="CT80" s="59">
        <f t="shared" si="104"/>
        <v>0</v>
      </c>
      <c r="CU80" s="59">
        <f t="shared" si="105"/>
        <v>0</v>
      </c>
      <c r="CV80" s="79">
        <f t="shared" si="106"/>
        <v>0</v>
      </c>
      <c r="CW80" s="82" t="str">
        <f t="shared" si="90"/>
        <v>valid</v>
      </c>
      <c r="CX80" s="65" t="str">
        <f t="shared" si="91"/>
        <v>valid</v>
      </c>
      <c r="CY80" s="66" t="str">
        <f t="shared" si="92"/>
        <v>MGScrSp</v>
      </c>
      <c r="CZ80" s="81">
        <f t="shared" si="93"/>
        <v>35.613520000000001</v>
      </c>
      <c r="DA80" s="59">
        <f t="shared" si="94"/>
        <v>10.337331999999996</v>
      </c>
      <c r="DB80" s="59">
        <f t="shared" si="95"/>
        <v>1.702693999999999</v>
      </c>
      <c r="DC80" s="59">
        <f t="shared" si="96"/>
        <v>10.165043133333329</v>
      </c>
      <c r="DD80" s="59">
        <f t="shared" si="97"/>
        <v>0.26756619999999987</v>
      </c>
      <c r="DE80" s="79">
        <f t="shared" si="98"/>
        <v>37.042576000000004</v>
      </c>
      <c r="DF80" s="83">
        <f t="shared" si="99"/>
        <v>46.046129333333326</v>
      </c>
      <c r="DG80" s="412"/>
    </row>
    <row r="81" spans="1:255" s="209" customFormat="1" ht="16.5" customHeight="1" x14ac:dyDescent="0.25">
      <c r="B81" s="414"/>
      <c r="C81" s="414" t="s">
        <v>996</v>
      </c>
      <c r="D81" s="84" t="s">
        <v>152</v>
      </c>
      <c r="E81" s="49" t="s">
        <v>997</v>
      </c>
      <c r="F81" s="415">
        <f t="shared" si="75"/>
        <v>0.8555170879230185</v>
      </c>
      <c r="G81" s="415" t="str">
        <f t="shared" ca="1" si="76"/>
        <v>Yes</v>
      </c>
      <c r="H81" s="51" t="str">
        <f t="shared" si="77"/>
        <v>Main - Genoa - Spinnaker</v>
      </c>
      <c r="I81" s="52">
        <v>42307</v>
      </c>
      <c r="J81" s="52">
        <v>43140</v>
      </c>
      <c r="K81" s="53" t="s">
        <v>908</v>
      </c>
      <c r="L81" s="53" t="s">
        <v>841</v>
      </c>
      <c r="M81" s="54"/>
      <c r="N81" s="75" t="s">
        <v>127</v>
      </c>
      <c r="O81" s="75" t="s">
        <v>128</v>
      </c>
      <c r="P81" s="85"/>
      <c r="Q81" s="57">
        <v>8.31</v>
      </c>
      <c r="R81" s="58"/>
      <c r="S81" s="59">
        <f t="shared" si="74"/>
        <v>0.20775000000000002</v>
      </c>
      <c r="T81" s="60">
        <v>0.23</v>
      </c>
      <c r="U81" s="60">
        <v>0</v>
      </c>
      <c r="V81" s="61">
        <f t="shared" si="107"/>
        <v>8.08</v>
      </c>
      <c r="W81" s="62">
        <f>IF(RL&gt;0,IF(RL&gt;'Look Ups'!R$7,'Look Ups'!R$8,('Look Ups'!R$3*RL^3+'Look Ups'!R$4*RL^2+'Look Ups'!R$5*RL+'Look Ups'!R$6)),0)</f>
        <v>0.29406700569600003</v>
      </c>
      <c r="X81" s="63">
        <v>1290</v>
      </c>
      <c r="Y81" s="64"/>
      <c r="Z81" s="64"/>
      <c r="AA81" s="64"/>
      <c r="AB81" s="65">
        <f t="shared" si="78"/>
        <v>1290</v>
      </c>
      <c r="AC81" s="66">
        <f t="shared" si="79"/>
        <v>1290</v>
      </c>
      <c r="AD81" s="67" t="s">
        <v>129</v>
      </c>
      <c r="AE81" s="68" t="s">
        <v>130</v>
      </c>
      <c r="AF81" s="69" t="s">
        <v>131</v>
      </c>
      <c r="AG81" s="70">
        <f>IF(C81="",0,VLOOKUP(AD81,'Look Ups'!$B$3:$C$6,2,0)*VLOOKUP(AE81,'Look Ups'!$E$3:$F$5,2,0)*VLOOKUP(AF81,'Look Ups'!$H$3:$I$7,2,0))</f>
        <v>1</v>
      </c>
      <c r="AH81" s="71">
        <v>10.94</v>
      </c>
      <c r="AI81" s="60">
        <v>10.74</v>
      </c>
      <c r="AJ81" s="60">
        <v>3.3</v>
      </c>
      <c r="AK81" s="60">
        <v>1.01</v>
      </c>
      <c r="AL81" s="60">
        <v>0.38</v>
      </c>
      <c r="AM81" s="60">
        <v>10.55</v>
      </c>
      <c r="AN81" s="60">
        <v>0.15</v>
      </c>
      <c r="AO81" s="60">
        <v>3.52</v>
      </c>
      <c r="AP81" s="60">
        <v>0</v>
      </c>
      <c r="AQ81" s="60">
        <v>0.46</v>
      </c>
      <c r="AR81" s="60" t="s">
        <v>132</v>
      </c>
      <c r="AS81" s="75">
        <v>0</v>
      </c>
      <c r="AT81" s="59">
        <f t="shared" si="80"/>
        <v>10.55</v>
      </c>
      <c r="AU81" s="59">
        <f t="shared" si="81"/>
        <v>1.8198750000000001</v>
      </c>
      <c r="AV81" s="72">
        <f>IF(C81="",0,(0.5*(_ML1*LPM)+0.5*(_ML1*HB)+0.66*(P*PR)+0.66*(_ML2*RDM)+0.66*(E*ER))*VLOOKUP(BATT,'Look Ups'!$N$3:$O$4,2,0))</f>
        <v>27.313741999999998</v>
      </c>
      <c r="AW81" s="73"/>
      <c r="AX81" s="74"/>
      <c r="AY81" s="71">
        <v>8.9</v>
      </c>
      <c r="AZ81" s="60">
        <v>2.99</v>
      </c>
      <c r="BA81" s="60">
        <v>3.47</v>
      </c>
      <c r="BB81" s="60">
        <v>0.155</v>
      </c>
      <c r="BC81" s="60">
        <v>7.76</v>
      </c>
      <c r="BD81" s="60"/>
      <c r="BE81" s="60"/>
      <c r="BF81" s="60">
        <v>0.14499999999999999</v>
      </c>
      <c r="BG81" s="60">
        <v>0.04</v>
      </c>
      <c r="BH81" s="75"/>
      <c r="BI81" s="72">
        <f t="shared" si="82"/>
        <v>14.638073000000002</v>
      </c>
      <c r="BJ81" s="76"/>
      <c r="BK81" s="77"/>
      <c r="BL81" s="78"/>
      <c r="BM81" s="78"/>
      <c r="BN81" s="77"/>
      <c r="BO81" s="78"/>
      <c r="BP81" s="78"/>
      <c r="BQ81" s="79">
        <f t="shared" si="100"/>
        <v>0</v>
      </c>
      <c r="BR81" s="80"/>
      <c r="BS81" s="77"/>
      <c r="BT81" s="77"/>
      <c r="BU81" s="77"/>
      <c r="BV81" s="77"/>
      <c r="BW81" s="77"/>
      <c r="BX81" s="77"/>
      <c r="BY81" s="72">
        <f t="shared" si="101"/>
        <v>0</v>
      </c>
      <c r="BZ81" s="73">
        <v>7.4</v>
      </c>
      <c r="CA81" s="60">
        <v>11.8</v>
      </c>
      <c r="CB81" s="60">
        <v>10.28</v>
      </c>
      <c r="CC81" s="60">
        <v>6.96</v>
      </c>
      <c r="CD81" s="65">
        <f t="shared" si="83"/>
        <v>94.054054054054049</v>
      </c>
      <c r="CE81" s="75">
        <v>0</v>
      </c>
      <c r="CF81" s="79">
        <f t="shared" si="102"/>
        <v>64.8416</v>
      </c>
      <c r="CG81" s="71"/>
      <c r="CH81" s="60">
        <v>0</v>
      </c>
      <c r="CI81" s="60">
        <v>0</v>
      </c>
      <c r="CJ81" s="60">
        <v>0</v>
      </c>
      <c r="CK81" s="59" t="str">
        <f t="shared" si="84"/>
        <v/>
      </c>
      <c r="CL81" s="75">
        <v>0</v>
      </c>
      <c r="CM81" s="72">
        <f t="shared" si="85"/>
        <v>0</v>
      </c>
      <c r="CN81" s="81">
        <f t="shared" si="86"/>
        <v>1</v>
      </c>
      <c r="CO81" s="59">
        <f t="shared" si="87"/>
        <v>29.133616999999994</v>
      </c>
      <c r="CP81" s="59">
        <f t="shared" si="88"/>
        <v>1</v>
      </c>
      <c r="CQ81" s="59">
        <f t="shared" si="89"/>
        <v>14.638073000000002</v>
      </c>
      <c r="CR81" s="59">
        <f>IF(AV81&gt;0,'Look Ups'!$L$3,0)</f>
        <v>1</v>
      </c>
      <c r="CS81" s="59">
        <f t="shared" si="103"/>
        <v>0</v>
      </c>
      <c r="CT81" s="59">
        <f t="shared" si="104"/>
        <v>0</v>
      </c>
      <c r="CU81" s="59">
        <f t="shared" si="105"/>
        <v>0</v>
      </c>
      <c r="CV81" s="79">
        <f t="shared" si="106"/>
        <v>0</v>
      </c>
      <c r="CW81" s="82" t="str">
        <f t="shared" si="90"/>
        <v>-</v>
      </c>
      <c r="CX81" s="65" t="str">
        <f t="shared" si="91"/>
        <v>valid</v>
      </c>
      <c r="CY81" s="66" t="str">
        <f t="shared" si="92"/>
        <v>MGSp</v>
      </c>
      <c r="CZ81" s="81">
        <f t="shared" si="93"/>
        <v>43.771689999999992</v>
      </c>
      <c r="DA81" s="59">
        <f t="shared" si="94"/>
        <v>15.061058099999997</v>
      </c>
      <c r="DB81" s="59">
        <f t="shared" si="95"/>
        <v>0</v>
      </c>
      <c r="DC81" s="59">
        <f t="shared" si="96"/>
        <v>14.810040464999997</v>
      </c>
      <c r="DD81" s="59">
        <f t="shared" si="97"/>
        <v>0</v>
      </c>
      <c r="DE81" s="79">
        <f t="shared" si="98"/>
        <v>45.337208751999995</v>
      </c>
      <c r="DF81" s="83">
        <f t="shared" si="99"/>
        <v>58.832748099999989</v>
      </c>
      <c r="DG81" s="412"/>
      <c r="DH81" s="286"/>
      <c r="DI81" s="286"/>
      <c r="DJ81" s="286"/>
      <c r="DK81" s="286"/>
      <c r="DL81" s="286"/>
      <c r="DM81" s="286"/>
      <c r="DN81" s="286"/>
      <c r="DO81" s="286"/>
      <c r="DP81" s="286"/>
      <c r="DQ81" s="286"/>
      <c r="DR81" s="286"/>
      <c r="DS81" s="286"/>
      <c r="DT81" s="286"/>
      <c r="DU81" s="286"/>
      <c r="DV81" s="286"/>
      <c r="DW81" s="286"/>
      <c r="DX81" s="286"/>
      <c r="DY81" s="286"/>
      <c r="DZ81" s="286"/>
      <c r="EA81" s="286"/>
      <c r="EB81" s="286"/>
      <c r="EC81" s="286"/>
      <c r="ED81" s="286"/>
      <c r="EE81" s="286"/>
      <c r="EF81" s="286"/>
      <c r="EG81" s="286"/>
      <c r="EH81" s="286"/>
      <c r="EI81" s="286"/>
      <c r="EJ81" s="286"/>
      <c r="EK81" s="286"/>
      <c r="EL81" s="286"/>
      <c r="EM81" s="286"/>
      <c r="EN81" s="286"/>
      <c r="EO81" s="286"/>
      <c r="EP81" s="286"/>
      <c r="EQ81" s="286"/>
      <c r="ER81" s="286"/>
      <c r="ES81" s="286"/>
      <c r="ET81" s="286"/>
      <c r="EU81" s="286"/>
      <c r="EV81" s="286"/>
      <c r="EW81" s="365"/>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row>
    <row r="82" spans="1:255" ht="16.5" customHeight="1" x14ac:dyDescent="0.25">
      <c r="B82" s="414"/>
      <c r="C82" s="414" t="s">
        <v>354</v>
      </c>
      <c r="D82" s="48" t="s">
        <v>223</v>
      </c>
      <c r="E82" s="49" t="s">
        <v>355</v>
      </c>
      <c r="F82" s="415">
        <f t="shared" si="75"/>
        <v>0.78803656823533097</v>
      </c>
      <c r="G82" s="415" t="str">
        <f t="shared" ca="1" si="76"/>
        <v>Yes</v>
      </c>
      <c r="H82" s="51" t="str">
        <f t="shared" si="77"/>
        <v>Main - Genoa - Screacher - Spinnaker</v>
      </c>
      <c r="I82" s="52">
        <v>41551</v>
      </c>
      <c r="J82" s="52">
        <v>42672</v>
      </c>
      <c r="K82" s="53" t="s">
        <v>201</v>
      </c>
      <c r="L82" s="53" t="s">
        <v>841</v>
      </c>
      <c r="M82" s="54"/>
      <c r="N82" s="75" t="s">
        <v>127</v>
      </c>
      <c r="O82" s="75" t="s">
        <v>128</v>
      </c>
      <c r="P82" s="56"/>
      <c r="Q82" s="57">
        <v>7.42</v>
      </c>
      <c r="R82" s="58"/>
      <c r="S82" s="59">
        <f t="shared" si="74"/>
        <v>0.1855</v>
      </c>
      <c r="T82" s="60">
        <v>0.23</v>
      </c>
      <c r="U82" s="60">
        <v>0</v>
      </c>
      <c r="V82" s="61">
        <f t="shared" si="107"/>
        <v>7.1899999999999995</v>
      </c>
      <c r="W82" s="62">
        <f>IF(RL&gt;0,IF(RL&gt;'Look Ups'!R$7,'Look Ups'!R$8,('Look Ups'!R$3*RL^3+'Look Ups'!R$4*RL^2+'Look Ups'!R$5*RL+'Look Ups'!R$6)),0)</f>
        <v>0.29059639364700002</v>
      </c>
      <c r="X82" s="63">
        <v>1150</v>
      </c>
      <c r="Y82" s="64"/>
      <c r="Z82" s="64"/>
      <c r="AA82" s="64"/>
      <c r="AB82" s="65">
        <f t="shared" si="78"/>
        <v>1150</v>
      </c>
      <c r="AC82" s="66">
        <f t="shared" si="79"/>
        <v>1150</v>
      </c>
      <c r="AD82" s="67" t="s">
        <v>129</v>
      </c>
      <c r="AE82" s="68" t="s">
        <v>130</v>
      </c>
      <c r="AF82" s="69" t="s">
        <v>131</v>
      </c>
      <c r="AG82" s="70">
        <f>IF(C82="",0,VLOOKUP(AD82,'Look Ups'!$B$3:$C$6,2,0)*VLOOKUP(AE82,'Look Ups'!$E$3:$F$5,2,0)*VLOOKUP(AF82,'Look Ups'!$H$3:$I$7,2,0))</f>
        <v>1</v>
      </c>
      <c r="AH82" s="71">
        <v>9.33</v>
      </c>
      <c r="AI82" s="60">
        <v>9.06</v>
      </c>
      <c r="AJ82" s="60">
        <v>3.07</v>
      </c>
      <c r="AK82" s="60">
        <v>1.25</v>
      </c>
      <c r="AL82" s="60">
        <v>0.27</v>
      </c>
      <c r="AM82" s="60">
        <v>8.93</v>
      </c>
      <c r="AN82" s="60">
        <v>0.01</v>
      </c>
      <c r="AO82" s="60">
        <v>3.26</v>
      </c>
      <c r="AP82" s="60">
        <v>0.04</v>
      </c>
      <c r="AQ82" s="60">
        <v>0.41</v>
      </c>
      <c r="AR82" s="60" t="s">
        <v>132</v>
      </c>
      <c r="AS82" s="75">
        <v>0</v>
      </c>
      <c r="AT82" s="59">
        <f t="shared" si="80"/>
        <v>8.9699999999999989</v>
      </c>
      <c r="AU82" s="59">
        <f t="shared" si="81"/>
        <v>1.3729874999999998</v>
      </c>
      <c r="AV82" s="72">
        <f>IF(C82="",0,(0.5*(_ML1*LPM)+0.5*(_ML1*HB)+0.66*(P*PR)+0.66*(_ML2*RDM)+0.66*(E*ER))*VLOOKUP(BATT,'Look Ups'!$N$3:$O$4,2,0))</f>
        <v>21.912294000000003</v>
      </c>
      <c r="AW82" s="73"/>
      <c r="AX82" s="74"/>
      <c r="AY82" s="71">
        <v>7.67</v>
      </c>
      <c r="AZ82" s="60">
        <v>2.78</v>
      </c>
      <c r="BA82" s="60">
        <v>3.05</v>
      </c>
      <c r="BB82" s="60">
        <v>0.1</v>
      </c>
      <c r="BC82" s="60">
        <v>6.9</v>
      </c>
      <c r="BD82" s="60"/>
      <c r="BE82" s="60"/>
      <c r="BF82" s="60">
        <v>0.26</v>
      </c>
      <c r="BG82" s="60">
        <v>0</v>
      </c>
      <c r="BH82" s="75">
        <v>0</v>
      </c>
      <c r="BI82" s="72">
        <f t="shared" si="82"/>
        <v>12.046639999999998</v>
      </c>
      <c r="BJ82" s="76"/>
      <c r="BK82" s="77"/>
      <c r="BL82" s="78"/>
      <c r="BM82" s="78"/>
      <c r="BN82" s="77"/>
      <c r="BO82" s="78"/>
      <c r="BP82" s="78"/>
      <c r="BQ82" s="79">
        <f t="shared" si="100"/>
        <v>0</v>
      </c>
      <c r="BR82" s="80"/>
      <c r="BS82" s="77"/>
      <c r="BT82" s="77"/>
      <c r="BU82" s="77"/>
      <c r="BV82" s="77"/>
      <c r="BW82" s="77"/>
      <c r="BX82" s="77"/>
      <c r="BY82" s="72">
        <f t="shared" si="101"/>
        <v>0</v>
      </c>
      <c r="BZ82" s="73">
        <v>7.19</v>
      </c>
      <c r="CA82" s="60">
        <v>11.23</v>
      </c>
      <c r="CB82" s="60">
        <v>10.35</v>
      </c>
      <c r="CC82" s="60">
        <v>5.72</v>
      </c>
      <c r="CD82" s="65">
        <f t="shared" si="83"/>
        <v>79.554937413073702</v>
      </c>
      <c r="CE82" s="60">
        <v>0</v>
      </c>
      <c r="CF82" s="79">
        <f t="shared" si="102"/>
        <v>54.07588333333333</v>
      </c>
      <c r="CG82" s="71">
        <v>5.59</v>
      </c>
      <c r="CH82" s="60">
        <v>9.36</v>
      </c>
      <c r="CI82" s="60">
        <v>7.47</v>
      </c>
      <c r="CJ82" s="60">
        <v>2.82</v>
      </c>
      <c r="CK82" s="59">
        <f t="shared" si="84"/>
        <v>50.447227191413234</v>
      </c>
      <c r="CL82" s="60">
        <v>0</v>
      </c>
      <c r="CM82" s="72">
        <f t="shared" si="85"/>
        <v>23.660174999999995</v>
      </c>
      <c r="CN82" s="81">
        <f t="shared" si="86"/>
        <v>1</v>
      </c>
      <c r="CO82" s="59">
        <f t="shared" si="87"/>
        <v>23.285281500000004</v>
      </c>
      <c r="CP82" s="59">
        <f t="shared" si="88"/>
        <v>1</v>
      </c>
      <c r="CQ82" s="59">
        <f t="shared" si="89"/>
        <v>12.046639999999998</v>
      </c>
      <c r="CR82" s="59">
        <f>IF(AV82&gt;0,'Look Ups'!$L$3,0)</f>
        <v>1</v>
      </c>
      <c r="CS82" s="59">
        <f t="shared" si="103"/>
        <v>0</v>
      </c>
      <c r="CT82" s="59">
        <f t="shared" si="104"/>
        <v>0</v>
      </c>
      <c r="CU82" s="59">
        <f t="shared" si="105"/>
        <v>0</v>
      </c>
      <c r="CV82" s="79">
        <f t="shared" si="106"/>
        <v>0</v>
      </c>
      <c r="CW82" s="82" t="str">
        <f t="shared" si="90"/>
        <v>valid</v>
      </c>
      <c r="CX82" s="65" t="str">
        <f t="shared" si="91"/>
        <v>valid</v>
      </c>
      <c r="CY82" s="66" t="str">
        <f t="shared" si="92"/>
        <v>MGScrSp</v>
      </c>
      <c r="CZ82" s="81">
        <f t="shared" si="93"/>
        <v>35.3319215</v>
      </c>
      <c r="DA82" s="59">
        <f t="shared" si="94"/>
        <v>12.608772999999999</v>
      </c>
      <c r="DB82" s="59">
        <f t="shared" si="95"/>
        <v>4.0647372499999985</v>
      </c>
      <c r="DC82" s="59">
        <f t="shared" si="96"/>
        <v>12.398626783333333</v>
      </c>
      <c r="DD82" s="59">
        <f t="shared" si="97"/>
        <v>0.63874442499999984</v>
      </c>
      <c r="DE82" s="79">
        <f t="shared" si="98"/>
        <v>36.545694781999998</v>
      </c>
      <c r="DF82" s="83">
        <f t="shared" si="99"/>
        <v>48.369292708333333</v>
      </c>
      <c r="DG82" s="412"/>
    </row>
    <row r="83" spans="1:255" ht="16.5" customHeight="1" x14ac:dyDescent="0.25">
      <c r="B83" s="414"/>
      <c r="C83" s="414" t="s">
        <v>359</v>
      </c>
      <c r="D83" s="84" t="s">
        <v>955</v>
      </c>
      <c r="E83" s="49" t="s">
        <v>360</v>
      </c>
      <c r="F83" s="415">
        <f t="shared" si="75"/>
        <v>0.77591273340674538</v>
      </c>
      <c r="G83" s="415" t="str">
        <f t="shared" ca="1" si="76"/>
        <v>Yes</v>
      </c>
      <c r="H83" s="51" t="str">
        <f t="shared" si="77"/>
        <v>Main - Genoa - Screacher - Spinnaker</v>
      </c>
      <c r="I83" s="52">
        <v>43683</v>
      </c>
      <c r="J83" s="52">
        <v>43683</v>
      </c>
      <c r="K83" s="53" t="s">
        <v>904</v>
      </c>
      <c r="L83" s="53" t="s">
        <v>841</v>
      </c>
      <c r="M83" s="54"/>
      <c r="N83" s="75" t="s">
        <v>127</v>
      </c>
      <c r="O83" s="75"/>
      <c r="P83" s="85"/>
      <c r="Q83" s="57">
        <v>10.78</v>
      </c>
      <c r="R83" s="58"/>
      <c r="S83" s="59">
        <f t="shared" si="74"/>
        <v>0.26950000000000002</v>
      </c>
      <c r="T83" s="60">
        <v>0.1</v>
      </c>
      <c r="U83" s="60">
        <v>0</v>
      </c>
      <c r="V83" s="61">
        <f t="shared" si="107"/>
        <v>10.68</v>
      </c>
      <c r="W83" s="62">
        <f>IF(RL&gt;0,IF(RL&gt;'Look Ups'!R$7,'Look Ups'!R$8,('Look Ups'!R$3*RL^3+'Look Ups'!R$4*RL^2+'Look Ups'!R$5*RL+'Look Ups'!R$6)),0)</f>
        <v>0.29927279225600001</v>
      </c>
      <c r="X83" s="63">
        <v>5000</v>
      </c>
      <c r="Y83" s="64"/>
      <c r="Z83" s="64"/>
      <c r="AA83" s="64"/>
      <c r="AB83" s="65">
        <f t="shared" si="78"/>
        <v>5000</v>
      </c>
      <c r="AC83" s="66">
        <f t="shared" si="79"/>
        <v>5000</v>
      </c>
      <c r="AD83" s="67" t="s">
        <v>129</v>
      </c>
      <c r="AE83" s="68" t="s">
        <v>130</v>
      </c>
      <c r="AF83" s="69" t="s">
        <v>300</v>
      </c>
      <c r="AG83" s="70">
        <f>IF(C83="",0,VLOOKUP(AD83,'Look Ups'!$B$3:$C$6,2,0)*VLOOKUP(AE83,'Look Ups'!$E$3:$F$5,2,0)*VLOOKUP(AF83,'Look Ups'!$H$3:$I$7,2,0))</f>
        <v>0.995</v>
      </c>
      <c r="AH83" s="71">
        <v>15.12</v>
      </c>
      <c r="AI83" s="60">
        <v>14.74</v>
      </c>
      <c r="AJ83" s="60">
        <v>4.7</v>
      </c>
      <c r="AK83" s="60">
        <v>1.74</v>
      </c>
      <c r="AL83" s="60">
        <v>0.35</v>
      </c>
      <c r="AM83" s="60">
        <v>14.54</v>
      </c>
      <c r="AN83" s="60">
        <v>0.12</v>
      </c>
      <c r="AO83" s="60">
        <v>4.9400000000000004</v>
      </c>
      <c r="AP83" s="60">
        <v>0.06</v>
      </c>
      <c r="AQ83" s="60"/>
      <c r="AR83" s="60" t="s">
        <v>132</v>
      </c>
      <c r="AS83" s="75">
        <v>0</v>
      </c>
      <c r="AT83" s="59">
        <f t="shared" si="80"/>
        <v>14.6</v>
      </c>
      <c r="AU83" s="59">
        <f t="shared" si="81"/>
        <v>0</v>
      </c>
      <c r="AV83" s="72">
        <f>IF(C83="",0,(0.5*(_ML1*LPM)+0.5*(_ML1*HB)+0.66*(P*PR)+0.66*(_ML2*RDM)+0.66*(E*ER))*VLOOKUP(BATT,'Look Ups'!$N$3:$O$4,2,0))</f>
        <v>53.438531999999988</v>
      </c>
      <c r="AW83" s="73"/>
      <c r="AX83" s="74"/>
      <c r="AY83" s="71">
        <v>13.6</v>
      </c>
      <c r="AZ83" s="60">
        <v>3.62</v>
      </c>
      <c r="BA83" s="60">
        <v>3.85</v>
      </c>
      <c r="BB83" s="60">
        <v>0.06</v>
      </c>
      <c r="BC83" s="60">
        <v>12.76</v>
      </c>
      <c r="BD83" s="60"/>
      <c r="BE83" s="60"/>
      <c r="BF83" s="60">
        <v>0.02</v>
      </c>
      <c r="BG83" s="60">
        <v>0.03</v>
      </c>
      <c r="BH83" s="75">
        <v>0</v>
      </c>
      <c r="BI83" s="72">
        <f t="shared" si="82"/>
        <v>25.206171999999999</v>
      </c>
      <c r="BJ83" s="76"/>
      <c r="BK83" s="77"/>
      <c r="BL83" s="78"/>
      <c r="BM83" s="78"/>
      <c r="BN83" s="77"/>
      <c r="BO83" s="78"/>
      <c r="BP83" s="78"/>
      <c r="BQ83" s="79">
        <f t="shared" si="100"/>
        <v>0</v>
      </c>
      <c r="BR83" s="80"/>
      <c r="BS83" s="77"/>
      <c r="BT83" s="77"/>
      <c r="BU83" s="77"/>
      <c r="BV83" s="77"/>
      <c r="BW83" s="77"/>
      <c r="BX83" s="77"/>
      <c r="BY83" s="72">
        <f t="shared" si="101"/>
        <v>0</v>
      </c>
      <c r="BZ83" s="73">
        <v>9.8000000000000007</v>
      </c>
      <c r="CA83" s="60">
        <v>18.13</v>
      </c>
      <c r="CB83" s="60">
        <v>16.02</v>
      </c>
      <c r="CC83" s="60">
        <v>8.3800000000000008</v>
      </c>
      <c r="CD83" s="65">
        <f t="shared" si="83"/>
        <v>85.510204081632651</v>
      </c>
      <c r="CE83" s="75">
        <v>0</v>
      </c>
      <c r="CF83" s="79">
        <f t="shared" si="102"/>
        <v>123.28150000000001</v>
      </c>
      <c r="CG83" s="71">
        <v>9.7200000000000006</v>
      </c>
      <c r="CH83" s="60">
        <v>16.78</v>
      </c>
      <c r="CI83" s="60">
        <v>15.6</v>
      </c>
      <c r="CJ83" s="60">
        <v>5.37</v>
      </c>
      <c r="CK83" s="59">
        <f t="shared" si="84"/>
        <v>55.246913580246911</v>
      </c>
      <c r="CL83" s="75">
        <v>0</v>
      </c>
      <c r="CM83" s="72">
        <f t="shared" si="85"/>
        <v>84.188000000000002</v>
      </c>
      <c r="CN83" s="81">
        <f t="shared" si="86"/>
        <v>1</v>
      </c>
      <c r="CO83" s="59">
        <f t="shared" si="87"/>
        <v>53.438531999999988</v>
      </c>
      <c r="CP83" s="59">
        <f t="shared" si="88"/>
        <v>1</v>
      </c>
      <c r="CQ83" s="59">
        <f t="shared" si="89"/>
        <v>25.206171999999999</v>
      </c>
      <c r="CR83" s="59">
        <f>IF(AV83&gt;0,'Look Ups'!$L$3,0)</f>
        <v>1</v>
      </c>
      <c r="CS83" s="59">
        <f t="shared" si="103"/>
        <v>0</v>
      </c>
      <c r="CT83" s="59">
        <f t="shared" si="104"/>
        <v>0</v>
      </c>
      <c r="CU83" s="59">
        <f t="shared" si="105"/>
        <v>0</v>
      </c>
      <c r="CV83" s="79">
        <f t="shared" si="106"/>
        <v>0</v>
      </c>
      <c r="CW83" s="82" t="str">
        <f t="shared" si="90"/>
        <v>valid</v>
      </c>
      <c r="CX83" s="65" t="str">
        <f t="shared" si="91"/>
        <v>valid</v>
      </c>
      <c r="CY83" s="66" t="str">
        <f t="shared" si="92"/>
        <v>MGScrSp</v>
      </c>
      <c r="CZ83" s="81">
        <f t="shared" si="93"/>
        <v>78.64470399999999</v>
      </c>
      <c r="DA83" s="59">
        <f t="shared" si="94"/>
        <v>29.422598400000002</v>
      </c>
      <c r="DB83" s="59">
        <f t="shared" si="95"/>
        <v>20.643639800000003</v>
      </c>
      <c r="DC83" s="59">
        <f t="shared" si="96"/>
        <v>28.932221760000001</v>
      </c>
      <c r="DD83" s="59">
        <f t="shared" si="97"/>
        <v>3.2440005400000005</v>
      </c>
      <c r="DE83" s="79">
        <f t="shared" si="98"/>
        <v>81.693798879999989</v>
      </c>
      <c r="DF83" s="83">
        <f t="shared" si="99"/>
        <v>110.8209263</v>
      </c>
      <c r="DG83" s="412"/>
    </row>
    <row r="84" spans="1:255" ht="16.5" customHeight="1" x14ac:dyDescent="0.25">
      <c r="B84" s="414"/>
      <c r="C84" s="414" t="s">
        <v>1087</v>
      </c>
      <c r="D84" s="48" t="s">
        <v>521</v>
      </c>
      <c r="E84" s="49" t="s">
        <v>1034</v>
      </c>
      <c r="F84" s="415">
        <f t="shared" si="75"/>
        <v>1.1136044883161496</v>
      </c>
      <c r="G84" s="415" t="str">
        <f t="shared" ca="1" si="76"/>
        <v>Yes</v>
      </c>
      <c r="H84" s="51" t="str">
        <f t="shared" si="77"/>
        <v>Main - Genoa - Screacher</v>
      </c>
      <c r="I84" s="52">
        <v>43685</v>
      </c>
      <c r="J84" s="52">
        <v>44419</v>
      </c>
      <c r="K84" s="53" t="s">
        <v>904</v>
      </c>
      <c r="L84" s="53" t="s">
        <v>614</v>
      </c>
      <c r="M84" s="54"/>
      <c r="N84" s="55" t="s">
        <v>149</v>
      </c>
      <c r="O84" s="55" t="s">
        <v>138</v>
      </c>
      <c r="P84" s="86"/>
      <c r="Q84" s="57">
        <v>11.9</v>
      </c>
      <c r="R84" s="58"/>
      <c r="S84" s="59">
        <f t="shared" si="74"/>
        <v>0.29750000000000004</v>
      </c>
      <c r="T84" s="60"/>
      <c r="U84" s="60">
        <v>0</v>
      </c>
      <c r="V84" s="61">
        <v>11.9</v>
      </c>
      <c r="W84" s="62">
        <f>IF(RL&gt;0,IF(RL&gt;'Look Ups'!R$7,'Look Ups'!R$8,('Look Ups'!R$3*RL^3+'Look Ups'!R$4*RL^2+'Look Ups'!R$5*RL+'Look Ups'!R$6)),0)</f>
        <v>0.29990624700000001</v>
      </c>
      <c r="X84" s="63">
        <v>1543</v>
      </c>
      <c r="Y84" s="64"/>
      <c r="Z84" s="64">
        <v>548</v>
      </c>
      <c r="AA84" s="64">
        <v>7</v>
      </c>
      <c r="AB84" s="65">
        <f t="shared" si="78"/>
        <v>1543</v>
      </c>
      <c r="AC84" s="66">
        <f t="shared" si="79"/>
        <v>2119</v>
      </c>
      <c r="AD84" s="67" t="s">
        <v>129</v>
      </c>
      <c r="AE84" s="68" t="s">
        <v>130</v>
      </c>
      <c r="AF84" s="69" t="s">
        <v>131</v>
      </c>
      <c r="AG84" s="70">
        <f>IF(C84="",0,VLOOKUP(AD84,'Look Ups'!$B$3:$C$6,2,0)*VLOOKUP(AE84,'Look Ups'!$E$3:$F$5,2,0)*VLOOKUP(AF84,'Look Ups'!$H$3:$I$7,2,0))</f>
        <v>1</v>
      </c>
      <c r="AH84" s="71">
        <v>17.62</v>
      </c>
      <c r="AI84" s="60">
        <v>17.22</v>
      </c>
      <c r="AJ84" s="60">
        <v>4.92</v>
      </c>
      <c r="AK84" s="60">
        <v>1.97</v>
      </c>
      <c r="AL84" s="60">
        <v>0.23</v>
      </c>
      <c r="AM84" s="60">
        <v>17.55</v>
      </c>
      <c r="AN84" s="60">
        <v>0.27</v>
      </c>
      <c r="AO84" s="60">
        <v>4.9800000000000004</v>
      </c>
      <c r="AP84" s="60">
        <v>0.02</v>
      </c>
      <c r="AQ84" s="60">
        <v>0.77</v>
      </c>
      <c r="AR84" s="60" t="s">
        <v>132</v>
      </c>
      <c r="AS84" s="75"/>
      <c r="AT84" s="59">
        <f t="shared" si="80"/>
        <v>17.57</v>
      </c>
      <c r="AU84" s="59">
        <f t="shared" si="81"/>
        <v>5.0675625000000011</v>
      </c>
      <c r="AV84" s="72">
        <f>IF(C84="",0,(0.5*(_ML1*LPM)+0.5*(_ML1*HB)+0.66*(P*PR)+0.66*(_ML2*RDM)+0.66*(E*ER))*VLOOKUP(BATT,'Look Ups'!$N$3:$O$4,2,0))</f>
        <v>66.508042000000003</v>
      </c>
      <c r="AW84" s="73"/>
      <c r="AX84" s="74"/>
      <c r="AY84" s="71">
        <v>13.05</v>
      </c>
      <c r="AZ84" s="60">
        <v>3.39</v>
      </c>
      <c r="BA84" s="60">
        <v>3.45</v>
      </c>
      <c r="BB84" s="60">
        <v>0</v>
      </c>
      <c r="BC84" s="60">
        <v>12.68</v>
      </c>
      <c r="BD84" s="60">
        <v>12.84</v>
      </c>
      <c r="BE84" s="60">
        <v>0.21</v>
      </c>
      <c r="BF84" s="60">
        <v>0.05</v>
      </c>
      <c r="BG84" s="60">
        <v>0</v>
      </c>
      <c r="BH84" s="58"/>
      <c r="BI84" s="72">
        <f t="shared" si="82"/>
        <v>23.874870000000001</v>
      </c>
      <c r="BJ84" s="76"/>
      <c r="BK84" s="77"/>
      <c r="BL84" s="78"/>
      <c r="BM84" s="78"/>
      <c r="BN84" s="77"/>
      <c r="BO84" s="78"/>
      <c r="BP84" s="78"/>
      <c r="BQ84" s="79">
        <f t="shared" si="100"/>
        <v>0</v>
      </c>
      <c r="BR84" s="80"/>
      <c r="BS84" s="77"/>
      <c r="BT84" s="77"/>
      <c r="BU84" s="77"/>
      <c r="BV84" s="77"/>
      <c r="BW84" s="77"/>
      <c r="BX84" s="77"/>
      <c r="BY84" s="72">
        <f t="shared" si="101"/>
        <v>0</v>
      </c>
      <c r="BZ84" s="73"/>
      <c r="CA84" s="60"/>
      <c r="CB84" s="60"/>
      <c r="CC84" s="60"/>
      <c r="CD84" s="65" t="str">
        <f t="shared" si="83"/>
        <v/>
      </c>
      <c r="CE84" s="60">
        <v>0</v>
      </c>
      <c r="CF84" s="79">
        <f t="shared" si="102"/>
        <v>0</v>
      </c>
      <c r="CG84" s="71">
        <v>10.51</v>
      </c>
      <c r="CH84" s="60">
        <v>17.88</v>
      </c>
      <c r="CI84" s="60">
        <v>15</v>
      </c>
      <c r="CJ84" s="60">
        <v>6.8650000000000002</v>
      </c>
      <c r="CK84" s="59">
        <f t="shared" si="84"/>
        <v>65.3187440532826</v>
      </c>
      <c r="CL84" s="60"/>
      <c r="CM84" s="72">
        <f t="shared" si="85"/>
        <v>104.03779999999999</v>
      </c>
      <c r="CN84" s="81">
        <f t="shared" si="86"/>
        <v>1</v>
      </c>
      <c r="CO84" s="59">
        <f t="shared" si="87"/>
        <v>71.575604499999997</v>
      </c>
      <c r="CP84" s="59">
        <f t="shared" si="88"/>
        <v>1</v>
      </c>
      <c r="CQ84" s="59">
        <f t="shared" si="89"/>
        <v>23.874870000000001</v>
      </c>
      <c r="CR84" s="59">
        <f>IF(AV84&gt;0,'Look Ups'!$L$3,0)</f>
        <v>1</v>
      </c>
      <c r="CS84" s="59">
        <f t="shared" si="103"/>
        <v>0</v>
      </c>
      <c r="CT84" s="59">
        <f t="shared" si="104"/>
        <v>0</v>
      </c>
      <c r="CU84" s="59">
        <f t="shared" si="105"/>
        <v>0</v>
      </c>
      <c r="CV84" s="79">
        <f t="shared" si="106"/>
        <v>0</v>
      </c>
      <c r="CW84" s="82" t="str">
        <f t="shared" si="90"/>
        <v>valid</v>
      </c>
      <c r="CX84" s="65" t="str">
        <f t="shared" si="91"/>
        <v>-</v>
      </c>
      <c r="CY84" s="66" t="str">
        <f t="shared" si="92"/>
        <v>MGScr</v>
      </c>
      <c r="CZ84" s="81">
        <f t="shared" si="93"/>
        <v>95.450474499999999</v>
      </c>
      <c r="DA84" s="59">
        <f t="shared" si="94"/>
        <v>0</v>
      </c>
      <c r="DB84" s="59">
        <f t="shared" si="95"/>
        <v>28.057025499999995</v>
      </c>
      <c r="DC84" s="59">
        <f t="shared" si="96"/>
        <v>0</v>
      </c>
      <c r="DD84" s="59">
        <f t="shared" si="97"/>
        <v>4.4089611499999997</v>
      </c>
      <c r="DE84" s="79">
        <f t="shared" si="98"/>
        <v>100.60215382599999</v>
      </c>
      <c r="DF84" s="83">
        <f t="shared" si="99"/>
        <v>123.50749999999999</v>
      </c>
      <c r="DG84" s="412"/>
    </row>
    <row r="85" spans="1:255" ht="16.5" customHeight="1" x14ac:dyDescent="0.25">
      <c r="B85" s="414"/>
      <c r="C85" s="414" t="s">
        <v>361</v>
      </c>
      <c r="D85" s="48" t="s">
        <v>855</v>
      </c>
      <c r="E85" s="49" t="s">
        <v>362</v>
      </c>
      <c r="F85" s="415">
        <f t="shared" si="75"/>
        <v>0.88289431109653194</v>
      </c>
      <c r="G85" s="415" t="str">
        <f t="shared" ca="1" si="76"/>
        <v>Yes</v>
      </c>
      <c r="H85" s="51" t="str">
        <f t="shared" si="77"/>
        <v>Main - Genoa - Screacher - Spinnaker</v>
      </c>
      <c r="I85" s="52">
        <v>42020</v>
      </c>
      <c r="J85" s="52">
        <v>44950</v>
      </c>
      <c r="K85" s="53" t="s">
        <v>363</v>
      </c>
      <c r="L85" s="53" t="s">
        <v>614</v>
      </c>
      <c r="M85" s="54"/>
      <c r="N85" s="55" t="s">
        <v>149</v>
      </c>
      <c r="O85" s="55"/>
      <c r="P85" s="56"/>
      <c r="Q85" s="57">
        <v>14.91</v>
      </c>
      <c r="R85" s="58"/>
      <c r="S85" s="59">
        <f t="shared" si="74"/>
        <v>0.37275000000000003</v>
      </c>
      <c r="T85" s="60">
        <v>0.12</v>
      </c>
      <c r="U85" s="60">
        <v>0</v>
      </c>
      <c r="V85" s="61">
        <f t="shared" ref="V85:V131" si="108">IF((LOAA&gt;LOA),LOAA,LOA-FOC-AOC)</f>
        <v>14.790000000000001</v>
      </c>
      <c r="W85" s="62">
        <f>IF(RL&gt;0,IF(RL&gt;'Look Ups'!R$7,'Look Ups'!R$8,('Look Ups'!R$3*RL^3+'Look Ups'!R$4*RL^2+'Look Ups'!R$5*RL+'Look Ups'!R$6)),0)</f>
        <v>0.3</v>
      </c>
      <c r="X85" s="63">
        <f>7524-123.1</f>
        <v>7400.9</v>
      </c>
      <c r="Y85" s="64"/>
      <c r="Z85" s="64">
        <v>546</v>
      </c>
      <c r="AA85" s="64"/>
      <c r="AB85" s="65">
        <f t="shared" si="78"/>
        <v>7400.9</v>
      </c>
      <c r="AC85" s="66">
        <f t="shared" si="79"/>
        <v>7946.9</v>
      </c>
      <c r="AD85" s="67" t="s">
        <v>129</v>
      </c>
      <c r="AE85" s="68" t="s">
        <v>130</v>
      </c>
      <c r="AF85" s="69" t="s">
        <v>161</v>
      </c>
      <c r="AG85" s="70">
        <f>IF(C85="",0,VLOOKUP(AD85,'Look Ups'!$B$3:$C$6,2,0)*VLOOKUP(AE85,'Look Ups'!$E$3:$F$5,2,0)*VLOOKUP(AF85,'Look Ups'!$H$3:$I$7,2,0))</f>
        <v>0.99</v>
      </c>
      <c r="AH85" s="71">
        <v>19.690000000000001</v>
      </c>
      <c r="AI85" s="60">
        <v>19.34</v>
      </c>
      <c r="AJ85" s="60">
        <v>5.1100000000000003</v>
      </c>
      <c r="AK85" s="60">
        <v>1.8</v>
      </c>
      <c r="AL85" s="60">
        <v>0.55000000000000004</v>
      </c>
      <c r="AM85" s="60">
        <v>19.600000000000001</v>
      </c>
      <c r="AN85" s="60">
        <v>0.13</v>
      </c>
      <c r="AO85" s="60">
        <v>5.4</v>
      </c>
      <c r="AP85" s="60">
        <v>0</v>
      </c>
      <c r="AQ85" s="60"/>
      <c r="AR85" s="60" t="s">
        <v>132</v>
      </c>
      <c r="AS85" s="75" t="s">
        <v>364</v>
      </c>
      <c r="AT85" s="59">
        <f t="shared" si="80"/>
        <v>19.600000000000001</v>
      </c>
      <c r="AU85" s="59">
        <f t="shared" si="81"/>
        <v>0</v>
      </c>
      <c r="AV85" s="72">
        <f>IF(C85="",0,(0.5*(_ML1*LPM)+0.5*(_ML1*HB)+0.66*(P*PR)+0.66*(_ML2*RDM)+0.66*(E*ER))*VLOOKUP(BATT,'Look Ups'!$N$3:$O$4,2,0))</f>
        <v>76.73105000000001</v>
      </c>
      <c r="AW85" s="73"/>
      <c r="AX85" s="74"/>
      <c r="AY85" s="71">
        <v>19</v>
      </c>
      <c r="AZ85" s="60">
        <v>5.73</v>
      </c>
      <c r="BA85" s="60">
        <v>9.5500000000000007</v>
      </c>
      <c r="BB85" s="60">
        <v>0.17</v>
      </c>
      <c r="BC85" s="60">
        <v>18</v>
      </c>
      <c r="BD85" s="60">
        <v>18</v>
      </c>
      <c r="BE85" s="60"/>
      <c r="BF85" s="60">
        <v>-0.13</v>
      </c>
      <c r="BG85" s="60">
        <v>0.05</v>
      </c>
      <c r="BH85" s="75"/>
      <c r="BI85" s="72">
        <f t="shared" si="82"/>
        <v>54.589110000000005</v>
      </c>
      <c r="BJ85" s="76"/>
      <c r="BK85" s="77"/>
      <c r="BL85" s="78"/>
      <c r="BM85" s="78"/>
      <c r="BN85" s="77"/>
      <c r="BO85" s="78"/>
      <c r="BP85" s="78"/>
      <c r="BQ85" s="79">
        <f t="shared" si="100"/>
        <v>0</v>
      </c>
      <c r="BR85" s="80"/>
      <c r="BS85" s="77"/>
      <c r="BT85" s="77"/>
      <c r="BU85" s="77"/>
      <c r="BV85" s="77"/>
      <c r="BW85" s="77"/>
      <c r="BX85" s="77"/>
      <c r="BY85" s="72">
        <f t="shared" si="101"/>
        <v>0</v>
      </c>
      <c r="BZ85" s="73">
        <v>10.95</v>
      </c>
      <c r="CA85" s="60">
        <v>23.21</v>
      </c>
      <c r="CB85" s="60">
        <v>20.41</v>
      </c>
      <c r="CC85" s="60">
        <v>10.896000000000001</v>
      </c>
      <c r="CD85" s="65">
        <f t="shared" si="83"/>
        <v>99.506849315068507</v>
      </c>
      <c r="CE85" s="60">
        <v>0</v>
      </c>
      <c r="CF85" s="79">
        <f t="shared" si="102"/>
        <v>198.23109000000002</v>
      </c>
      <c r="CG85" s="71">
        <v>9.9</v>
      </c>
      <c r="CH85" s="60">
        <v>20.6</v>
      </c>
      <c r="CI85" s="60">
        <v>19.385000000000002</v>
      </c>
      <c r="CJ85" s="60">
        <v>4.9859999999999998</v>
      </c>
      <c r="CK85" s="59">
        <f t="shared" si="84"/>
        <v>50.363636363636353</v>
      </c>
      <c r="CL85" s="60">
        <v>0</v>
      </c>
      <c r="CM85" s="72">
        <f t="shared" si="85"/>
        <v>99.442694999999986</v>
      </c>
      <c r="CN85" s="81">
        <f t="shared" si="86"/>
        <v>1</v>
      </c>
      <c r="CO85" s="59">
        <f t="shared" si="87"/>
        <v>76.73105000000001</v>
      </c>
      <c r="CP85" s="59">
        <f t="shared" si="88"/>
        <v>1</v>
      </c>
      <c r="CQ85" s="59">
        <f t="shared" si="89"/>
        <v>54.589110000000005</v>
      </c>
      <c r="CR85" s="59">
        <f>IF(AV85&gt;0,'Look Ups'!$L$3,0)</f>
        <v>1</v>
      </c>
      <c r="CS85" s="59">
        <f t="shared" si="103"/>
        <v>0</v>
      </c>
      <c r="CT85" s="59">
        <f t="shared" si="104"/>
        <v>0</v>
      </c>
      <c r="CU85" s="59">
        <f t="shared" si="105"/>
        <v>0</v>
      </c>
      <c r="CV85" s="79">
        <f t="shared" si="106"/>
        <v>0</v>
      </c>
      <c r="CW85" s="82" t="str">
        <f t="shared" si="90"/>
        <v>valid</v>
      </c>
      <c r="CX85" s="65" t="str">
        <f t="shared" si="91"/>
        <v>valid</v>
      </c>
      <c r="CY85" s="66" t="str">
        <f t="shared" si="92"/>
        <v>MGScrSp</v>
      </c>
      <c r="CZ85" s="81">
        <f t="shared" si="93"/>
        <v>131.32016000000002</v>
      </c>
      <c r="DA85" s="59">
        <f t="shared" si="94"/>
        <v>43.092594000000005</v>
      </c>
      <c r="DB85" s="59">
        <f t="shared" si="95"/>
        <v>15.698754749999992</v>
      </c>
      <c r="DC85" s="59">
        <f t="shared" si="96"/>
        <v>42.3743841</v>
      </c>
      <c r="DD85" s="59">
        <f t="shared" si="97"/>
        <v>2.4669471749999992</v>
      </c>
      <c r="DE85" s="79">
        <f t="shared" si="98"/>
        <v>133.71148952000001</v>
      </c>
      <c r="DF85" s="83">
        <f t="shared" si="99"/>
        <v>176.16149127500003</v>
      </c>
      <c r="DG85" s="412"/>
    </row>
    <row r="86" spans="1:255" ht="16.5" customHeight="1" x14ac:dyDescent="0.25">
      <c r="B86" s="414"/>
      <c r="C86" s="414" t="s">
        <v>896</v>
      </c>
      <c r="D86" s="84" t="s">
        <v>900</v>
      </c>
      <c r="E86" s="49" t="s">
        <v>897</v>
      </c>
      <c r="F86" s="415">
        <f t="shared" si="75"/>
        <v>0.66377012610351238</v>
      </c>
      <c r="G86" s="415" t="str">
        <f t="shared" ca="1" si="76"/>
        <v>Yes</v>
      </c>
      <c r="H86" s="51" t="str">
        <f t="shared" si="77"/>
        <v>Main - Genoa - Screacher</v>
      </c>
      <c r="I86" s="52">
        <v>42767</v>
      </c>
      <c r="J86" s="52">
        <v>42825</v>
      </c>
      <c r="K86" s="53" t="s">
        <v>160</v>
      </c>
      <c r="L86" s="53" t="s">
        <v>841</v>
      </c>
      <c r="M86" s="54"/>
      <c r="N86" s="75" t="s">
        <v>149</v>
      </c>
      <c r="O86" s="75"/>
      <c r="P86" s="85"/>
      <c r="Q86" s="57">
        <v>14.04</v>
      </c>
      <c r="R86" s="58"/>
      <c r="S86" s="59">
        <f t="shared" si="74"/>
        <v>0.35099999999999998</v>
      </c>
      <c r="T86" s="60"/>
      <c r="U86" s="60">
        <v>0</v>
      </c>
      <c r="V86" s="61">
        <f t="shared" si="108"/>
        <v>14.04</v>
      </c>
      <c r="W86" s="62">
        <f>IF(RL&gt;0,IF(RL&gt;'Look Ups'!R$7,'Look Ups'!R$8,('Look Ups'!R$3*RL^3+'Look Ups'!R$4*RL^2+'Look Ups'!R$5*RL+'Look Ups'!R$6)),0)</f>
        <v>0.3</v>
      </c>
      <c r="X86" s="63">
        <v>14306</v>
      </c>
      <c r="Y86" s="64"/>
      <c r="Z86" s="64"/>
      <c r="AA86" s="64"/>
      <c r="AB86" s="65">
        <f t="shared" si="78"/>
        <v>14306</v>
      </c>
      <c r="AC86" s="66">
        <f t="shared" si="79"/>
        <v>14306</v>
      </c>
      <c r="AD86" s="67" t="s">
        <v>129</v>
      </c>
      <c r="AE86" s="68" t="s">
        <v>130</v>
      </c>
      <c r="AF86" s="69" t="s">
        <v>161</v>
      </c>
      <c r="AG86" s="70">
        <f>IF(C86="",0,VLOOKUP(AD86,'Look Ups'!$B$3:$C$6,2,0)*VLOOKUP(AE86,'Look Ups'!$E$3:$F$5,2,0)*VLOOKUP(AF86,'Look Ups'!$H$3:$I$7,2,0))</f>
        <v>0.99</v>
      </c>
      <c r="AH86" s="71">
        <v>17.46</v>
      </c>
      <c r="AI86" s="60">
        <v>17.38</v>
      </c>
      <c r="AJ86" s="60">
        <v>6.72</v>
      </c>
      <c r="AK86" s="60">
        <v>0.17</v>
      </c>
      <c r="AL86" s="60">
        <v>0.84899999999999998</v>
      </c>
      <c r="AM86" s="60">
        <v>17.45</v>
      </c>
      <c r="AN86" s="60">
        <v>0.18</v>
      </c>
      <c r="AO86" s="60">
        <v>6.88</v>
      </c>
      <c r="AP86" s="60">
        <v>0.11</v>
      </c>
      <c r="AQ86" s="60"/>
      <c r="AR86" s="60" t="s">
        <v>132</v>
      </c>
      <c r="AS86" s="75">
        <v>0</v>
      </c>
      <c r="AT86" s="59">
        <f t="shared" si="80"/>
        <v>17.559999999999999</v>
      </c>
      <c r="AU86" s="59">
        <f t="shared" si="81"/>
        <v>0</v>
      </c>
      <c r="AV86" s="72">
        <f>IF(C86="",0,(0.5*(_ML1*LPM)+0.5*(_ML1*HB)+0.66*(P*PR)+0.66*(_ML2*RDM)+0.66*(E*ER))*VLOOKUP(BATT,'Look Ups'!$N$3:$O$4,2,0))</f>
        <v>72.460957199999996</v>
      </c>
      <c r="AW86" s="73"/>
      <c r="AX86" s="74"/>
      <c r="AY86" s="71">
        <v>15.96</v>
      </c>
      <c r="AZ86" s="60">
        <v>7.03</v>
      </c>
      <c r="BA86" s="60">
        <v>8.1379999999999999</v>
      </c>
      <c r="BB86" s="60">
        <v>0.23</v>
      </c>
      <c r="BC86" s="60">
        <v>13.89</v>
      </c>
      <c r="BD86" s="60">
        <v>13.89</v>
      </c>
      <c r="BE86" s="60"/>
      <c r="BF86" s="60">
        <v>-0.21</v>
      </c>
      <c r="BG86" s="60">
        <v>-0.05</v>
      </c>
      <c r="BH86" s="75">
        <v>0</v>
      </c>
      <c r="BI86" s="72">
        <f t="shared" si="82"/>
        <v>54.882914400000004</v>
      </c>
      <c r="BJ86" s="76"/>
      <c r="BK86" s="77"/>
      <c r="BL86" s="78"/>
      <c r="BM86" s="78"/>
      <c r="BN86" s="77"/>
      <c r="BO86" s="78"/>
      <c r="BP86" s="78"/>
      <c r="BQ86" s="79">
        <f t="shared" si="100"/>
        <v>0</v>
      </c>
      <c r="BR86" s="80"/>
      <c r="BS86" s="77"/>
      <c r="BT86" s="77"/>
      <c r="BU86" s="77"/>
      <c r="BV86" s="77"/>
      <c r="BW86" s="77"/>
      <c r="BX86" s="77"/>
      <c r="BY86" s="72">
        <f t="shared" si="101"/>
        <v>0</v>
      </c>
      <c r="BZ86" s="73"/>
      <c r="CA86" s="60"/>
      <c r="CB86" s="60"/>
      <c r="CC86" s="60"/>
      <c r="CD86" s="65" t="str">
        <f t="shared" si="83"/>
        <v/>
      </c>
      <c r="CE86" s="75">
        <v>0</v>
      </c>
      <c r="CF86" s="79">
        <f t="shared" si="102"/>
        <v>0</v>
      </c>
      <c r="CG86" s="71">
        <v>9.8000000000000007</v>
      </c>
      <c r="CH86" s="60">
        <v>17.850000000000001</v>
      </c>
      <c r="CI86" s="60">
        <v>15.35</v>
      </c>
      <c r="CJ86" s="60">
        <v>7</v>
      </c>
      <c r="CK86" s="59">
        <f t="shared" si="84"/>
        <v>71.428571428571416</v>
      </c>
      <c r="CL86" s="75">
        <v>0</v>
      </c>
      <c r="CM86" s="72">
        <f t="shared" si="85"/>
        <v>104.58000000000001</v>
      </c>
      <c r="CN86" s="81">
        <f t="shared" si="86"/>
        <v>1</v>
      </c>
      <c r="CO86" s="59">
        <f t="shared" si="87"/>
        <v>72.460957199999996</v>
      </c>
      <c r="CP86" s="59">
        <f t="shared" si="88"/>
        <v>1</v>
      </c>
      <c r="CQ86" s="59">
        <f t="shared" si="89"/>
        <v>54.882914400000004</v>
      </c>
      <c r="CR86" s="59">
        <f>IF(AV86&gt;0,'Look Ups'!$L$3,0)</f>
        <v>1</v>
      </c>
      <c r="CS86" s="59">
        <f t="shared" si="103"/>
        <v>0</v>
      </c>
      <c r="CT86" s="59">
        <f t="shared" si="104"/>
        <v>0</v>
      </c>
      <c r="CU86" s="59">
        <f t="shared" si="105"/>
        <v>0</v>
      </c>
      <c r="CV86" s="79">
        <f t="shared" si="106"/>
        <v>0</v>
      </c>
      <c r="CW86" s="82" t="str">
        <f t="shared" si="90"/>
        <v>valid</v>
      </c>
      <c r="CX86" s="65" t="str">
        <f t="shared" si="91"/>
        <v>-</v>
      </c>
      <c r="CY86" s="66" t="str">
        <f t="shared" si="92"/>
        <v>MGScr</v>
      </c>
      <c r="CZ86" s="81">
        <f t="shared" si="93"/>
        <v>127.3438716</v>
      </c>
      <c r="DA86" s="59">
        <f t="shared" si="94"/>
        <v>0</v>
      </c>
      <c r="DB86" s="59">
        <f t="shared" si="95"/>
        <v>17.393979960000003</v>
      </c>
      <c r="DC86" s="59">
        <f t="shared" si="96"/>
        <v>0</v>
      </c>
      <c r="DD86" s="59">
        <f t="shared" si="97"/>
        <v>2.7333397080000004</v>
      </c>
      <c r="DE86" s="79">
        <f t="shared" si="98"/>
        <v>129.24230022239999</v>
      </c>
      <c r="DF86" s="83">
        <f t="shared" si="99"/>
        <v>144.73785156</v>
      </c>
      <c r="DG86" s="412"/>
    </row>
    <row r="87" spans="1:255" ht="16.5" customHeight="1" x14ac:dyDescent="0.3">
      <c r="B87" s="414"/>
      <c r="C87" s="414" t="s">
        <v>373</v>
      </c>
      <c r="D87" s="84" t="s">
        <v>374</v>
      </c>
      <c r="E87" s="49" t="s">
        <v>375</v>
      </c>
      <c r="F87" s="415">
        <f t="shared" si="75"/>
        <v>0.95801400329238118</v>
      </c>
      <c r="G87" s="415" t="str">
        <f t="shared" ca="1" si="76"/>
        <v>Yes</v>
      </c>
      <c r="H87" s="51" t="str">
        <f t="shared" si="77"/>
        <v>Main - Genoa - Screacher</v>
      </c>
      <c r="I87" s="52">
        <v>44551</v>
      </c>
      <c r="J87" s="52">
        <v>44552</v>
      </c>
      <c r="K87" s="53" t="s">
        <v>1001</v>
      </c>
      <c r="L87" s="53" t="s">
        <v>299</v>
      </c>
      <c r="M87" s="54"/>
      <c r="N87" s="75" t="s">
        <v>127</v>
      </c>
      <c r="O87" s="75" t="s">
        <v>138</v>
      </c>
      <c r="P87" s="85"/>
      <c r="Q87" s="57">
        <v>9.32</v>
      </c>
      <c r="R87" s="58"/>
      <c r="S87" s="59">
        <f t="shared" si="74"/>
        <v>0.23300000000000001</v>
      </c>
      <c r="T87" s="60">
        <v>0.05</v>
      </c>
      <c r="U87" s="60"/>
      <c r="V87" s="61">
        <f t="shared" si="108"/>
        <v>9.27</v>
      </c>
      <c r="W87" s="62">
        <f>IF(RL&gt;0,IF(RL&gt;'Look Ups'!R$7,'Look Ups'!R$8,('Look Ups'!R$3*RL^3+'Look Ups'!R$4*RL^2+'Look Ups'!R$5*RL+'Look Ups'!R$6)),0)</f>
        <v>0.29724667343900002</v>
      </c>
      <c r="X87" s="63">
        <v>1555</v>
      </c>
      <c r="Y87" s="64"/>
      <c r="Z87" s="367"/>
      <c r="AA87" s="367"/>
      <c r="AB87" s="65">
        <f t="shared" si="78"/>
        <v>1555</v>
      </c>
      <c r="AC87" s="66">
        <f t="shared" si="79"/>
        <v>1555</v>
      </c>
      <c r="AD87" s="67" t="s">
        <v>129</v>
      </c>
      <c r="AE87" s="68" t="s">
        <v>130</v>
      </c>
      <c r="AF87" s="69" t="s">
        <v>131</v>
      </c>
      <c r="AG87" s="70">
        <f>IF(C87="",0,VLOOKUP(AD87,'Look Ups'!$B$3:$C$6,2,0)*VLOOKUP(AE87,'Look Ups'!$E$3:$F$5,2,0)*VLOOKUP(AF87,'Look Ups'!$H$3:$I$7,2,0))</f>
        <v>1</v>
      </c>
      <c r="AH87" s="71">
        <v>12.68</v>
      </c>
      <c r="AI87" s="60">
        <v>12.17</v>
      </c>
      <c r="AJ87" s="60">
        <v>3.5339999999999998</v>
      </c>
      <c r="AK87" s="60">
        <v>1.3</v>
      </c>
      <c r="AL87" s="60">
        <v>0.91</v>
      </c>
      <c r="AM87" s="60">
        <v>12.72</v>
      </c>
      <c r="AN87" s="60">
        <v>0.3</v>
      </c>
      <c r="AO87" s="60">
        <v>3.585</v>
      </c>
      <c r="AP87" s="60">
        <v>0.05</v>
      </c>
      <c r="AQ87" s="60"/>
      <c r="AR87" s="60" t="s">
        <v>132</v>
      </c>
      <c r="AS87" s="75"/>
      <c r="AT87" s="59">
        <f t="shared" si="80"/>
        <v>12.770000000000001</v>
      </c>
      <c r="AU87" s="59">
        <f t="shared" si="81"/>
        <v>0</v>
      </c>
      <c r="AV87" s="72">
        <f>IF(C87="",0,(0.5*(_ML1*LPM)+0.5*(_ML1*HB)+0.66*(P*PR)+0.66*(_ML2*RDM)+0.66*(E*ER))*VLOOKUP(BATT,'Look Ups'!$N$3:$O$4,2,0))</f>
        <v>40.593727000000001</v>
      </c>
      <c r="AW87" s="73"/>
      <c r="AX87" s="74"/>
      <c r="AY87" s="71">
        <v>11.93</v>
      </c>
      <c r="AZ87" s="60">
        <v>3.9</v>
      </c>
      <c r="BA87" s="60">
        <v>4.42</v>
      </c>
      <c r="BB87" s="60">
        <v>0.12</v>
      </c>
      <c r="BC87" s="60">
        <v>10.43</v>
      </c>
      <c r="BD87" s="60"/>
      <c r="BE87" s="60"/>
      <c r="BF87" s="60">
        <v>-0.05</v>
      </c>
      <c r="BG87" s="60"/>
      <c r="BH87" s="75"/>
      <c r="BI87" s="72">
        <f t="shared" si="82"/>
        <v>23.269373999999999</v>
      </c>
      <c r="BJ87" s="76"/>
      <c r="BK87" s="77"/>
      <c r="BL87" s="78"/>
      <c r="BM87" s="78"/>
      <c r="BN87" s="77"/>
      <c r="BO87" s="78"/>
      <c r="BP87" s="78"/>
      <c r="BQ87" s="79">
        <f t="shared" si="100"/>
        <v>0</v>
      </c>
      <c r="BR87" s="80"/>
      <c r="BS87" s="77"/>
      <c r="BT87" s="77"/>
      <c r="BU87" s="77"/>
      <c r="BV87" s="77"/>
      <c r="BW87" s="77"/>
      <c r="BX87" s="77"/>
      <c r="BY87" s="72">
        <f t="shared" si="101"/>
        <v>0</v>
      </c>
      <c r="BZ87" s="291"/>
      <c r="CA87" s="259"/>
      <c r="CB87" s="259"/>
      <c r="CC87" s="259"/>
      <c r="CD87" s="65" t="str">
        <f t="shared" si="83"/>
        <v/>
      </c>
      <c r="CE87" s="75"/>
      <c r="CF87" s="79">
        <f t="shared" si="102"/>
        <v>0</v>
      </c>
      <c r="CG87" s="71">
        <v>8.65</v>
      </c>
      <c r="CH87" s="60">
        <v>14.95</v>
      </c>
      <c r="CI87" s="60">
        <v>13.7</v>
      </c>
      <c r="CJ87" s="60">
        <v>5.31</v>
      </c>
      <c r="CK87" s="59">
        <f t="shared" si="84"/>
        <v>61.387283236994215</v>
      </c>
      <c r="CL87" s="75"/>
      <c r="CM87" s="72">
        <f t="shared" si="85"/>
        <v>71.362374999999986</v>
      </c>
      <c r="CN87" s="81">
        <f t="shared" si="86"/>
        <v>1</v>
      </c>
      <c r="CO87" s="59">
        <f t="shared" si="87"/>
        <v>40.593727000000001</v>
      </c>
      <c r="CP87" s="59">
        <f t="shared" si="88"/>
        <v>1</v>
      </c>
      <c r="CQ87" s="59">
        <f t="shared" si="89"/>
        <v>23.269373999999999</v>
      </c>
      <c r="CR87" s="59">
        <f>IF(AV87&gt;0,'Look Ups'!$L$3,0)</f>
        <v>1</v>
      </c>
      <c r="CS87" s="59">
        <f t="shared" si="103"/>
        <v>0</v>
      </c>
      <c r="CT87" s="59">
        <f t="shared" si="104"/>
        <v>0</v>
      </c>
      <c r="CU87" s="59">
        <f t="shared" si="105"/>
        <v>0</v>
      </c>
      <c r="CV87" s="79">
        <f t="shared" si="106"/>
        <v>0</v>
      </c>
      <c r="CW87" s="82" t="str">
        <f t="shared" si="90"/>
        <v>valid</v>
      </c>
      <c r="CX87" s="65" t="str">
        <f t="shared" si="91"/>
        <v>-</v>
      </c>
      <c r="CY87" s="66" t="str">
        <f t="shared" si="92"/>
        <v>MGScr</v>
      </c>
      <c r="CZ87" s="81">
        <f t="shared" si="93"/>
        <v>63.863101</v>
      </c>
      <c r="DA87" s="59">
        <f t="shared" si="94"/>
        <v>0</v>
      </c>
      <c r="DB87" s="59">
        <f t="shared" si="95"/>
        <v>16.832550349999995</v>
      </c>
      <c r="DC87" s="59">
        <f t="shared" si="96"/>
        <v>0</v>
      </c>
      <c r="DD87" s="59">
        <f t="shared" si="97"/>
        <v>2.6451150549999993</v>
      </c>
      <c r="DE87" s="79">
        <f t="shared" si="98"/>
        <v>65.734131124000001</v>
      </c>
      <c r="DF87" s="83">
        <f t="shared" si="99"/>
        <v>80.695651349999991</v>
      </c>
      <c r="DG87" s="412"/>
    </row>
    <row r="88" spans="1:255" ht="16.5" customHeight="1" x14ac:dyDescent="0.25">
      <c r="B88" s="414"/>
      <c r="C88" s="414" t="s">
        <v>391</v>
      </c>
      <c r="D88" s="48" t="s">
        <v>392</v>
      </c>
      <c r="E88" s="49" t="s">
        <v>393</v>
      </c>
      <c r="F88" s="415">
        <f t="shared" si="75"/>
        <v>1.2454328884860704</v>
      </c>
      <c r="G88" s="415" t="str">
        <f t="shared" ca="1" si="76"/>
        <v>No</v>
      </c>
      <c r="H88" s="51" t="str">
        <f t="shared" si="77"/>
        <v>Main - Genoa</v>
      </c>
      <c r="I88" s="52">
        <v>43007</v>
      </c>
      <c r="J88" s="52">
        <v>43866</v>
      </c>
      <c r="K88" s="53" t="s">
        <v>239</v>
      </c>
      <c r="L88" s="53" t="s">
        <v>299</v>
      </c>
      <c r="M88" s="54"/>
      <c r="N88" s="55" t="s">
        <v>127</v>
      </c>
      <c r="O88" s="55" t="s">
        <v>138</v>
      </c>
      <c r="P88" s="56"/>
      <c r="Q88" s="57">
        <v>7.3</v>
      </c>
      <c r="R88" s="58"/>
      <c r="S88" s="59">
        <f t="shared" si="74"/>
        <v>0.1825</v>
      </c>
      <c r="T88" s="60">
        <v>0.01</v>
      </c>
      <c r="U88" s="60"/>
      <c r="V88" s="61">
        <f t="shared" si="108"/>
        <v>7.29</v>
      </c>
      <c r="W88" s="62">
        <f>IF(RL&gt;0,IF(RL&gt;'Look Ups'!R$7,'Look Ups'!R$8,('Look Ups'!R$3*RL^3+'Look Ups'!R$4*RL^2+'Look Ups'!R$5*RL+'Look Ups'!R$6)),0)</f>
        <v>0.29103813613700003</v>
      </c>
      <c r="X88" s="63">
        <v>1075</v>
      </c>
      <c r="Y88" s="64"/>
      <c r="Z88" s="64"/>
      <c r="AA88" s="64"/>
      <c r="AB88" s="65">
        <f t="shared" si="78"/>
        <v>1075</v>
      </c>
      <c r="AC88" s="66">
        <f t="shared" si="79"/>
        <v>1075</v>
      </c>
      <c r="AD88" s="67" t="s">
        <v>129</v>
      </c>
      <c r="AE88" s="68" t="s">
        <v>130</v>
      </c>
      <c r="AF88" s="69" t="s">
        <v>131</v>
      </c>
      <c r="AG88" s="70">
        <f>IF(C88="",0,VLOOKUP(AD88,'Look Ups'!$B$3:$C$6,2,0)*VLOOKUP(AE88,'Look Ups'!$E$3:$F$5,2,0)*VLOOKUP(AF88,'Look Ups'!$H$3:$I$7,2,0))</f>
        <v>1</v>
      </c>
      <c r="AH88" s="71">
        <v>10.029999999999999</v>
      </c>
      <c r="AI88" s="60">
        <v>9.84</v>
      </c>
      <c r="AJ88" s="60">
        <v>3.04</v>
      </c>
      <c r="AK88" s="60">
        <v>1.17</v>
      </c>
      <c r="AL88" s="60">
        <v>0.33</v>
      </c>
      <c r="AM88" s="60">
        <v>9.68</v>
      </c>
      <c r="AN88" s="60">
        <v>0.15</v>
      </c>
      <c r="AO88" s="60">
        <v>3.1850000000000001</v>
      </c>
      <c r="AP88" s="60">
        <v>0.03</v>
      </c>
      <c r="AQ88" s="60">
        <v>0.44</v>
      </c>
      <c r="AR88" s="60" t="s">
        <v>132</v>
      </c>
      <c r="AS88" s="75"/>
      <c r="AT88" s="59">
        <f t="shared" si="80"/>
        <v>9.7099999999999991</v>
      </c>
      <c r="AU88" s="59">
        <f t="shared" si="81"/>
        <v>1.5972</v>
      </c>
      <c r="AV88" s="72">
        <f>IF(C88="",0,(0.5*(_ML1*LPM)+0.5*(_ML1*HB)+0.66*(P*PR)+0.66*(_ML2*RDM)+0.66*(E*ER))*VLOOKUP(BATT,'Look Ups'!$N$3:$O$4,2,0))</f>
        <v>24.277684999999998</v>
      </c>
      <c r="AW88" s="73"/>
      <c r="AX88" s="74"/>
      <c r="AY88" s="71">
        <v>93</v>
      </c>
      <c r="AZ88" s="60">
        <v>2.6749999999999998</v>
      </c>
      <c r="BA88" s="60">
        <v>2.86</v>
      </c>
      <c r="BB88" s="60">
        <v>0.1</v>
      </c>
      <c r="BC88" s="60">
        <v>7.95</v>
      </c>
      <c r="BD88" s="60"/>
      <c r="BE88" s="60"/>
      <c r="BF88" s="60">
        <v>7.0000000000000007E-2</v>
      </c>
      <c r="BG88" s="60">
        <v>3.5000000000000003E-2</v>
      </c>
      <c r="BH88" s="75"/>
      <c r="BI88" s="72">
        <f t="shared" si="82"/>
        <v>127.09184999999999</v>
      </c>
      <c r="BJ88" s="76"/>
      <c r="BK88" s="77"/>
      <c r="BL88" s="78"/>
      <c r="BM88" s="78"/>
      <c r="BN88" s="77"/>
      <c r="BO88" s="78"/>
      <c r="BP88" s="78"/>
      <c r="BQ88" s="79">
        <v>0</v>
      </c>
      <c r="BR88" s="80"/>
      <c r="BS88" s="77"/>
      <c r="BT88" s="77"/>
      <c r="BU88" s="77"/>
      <c r="BV88" s="77"/>
      <c r="BW88" s="77"/>
      <c r="BX88" s="77"/>
      <c r="BY88" s="72"/>
      <c r="BZ88" s="73">
        <v>6.83</v>
      </c>
      <c r="CA88" s="60">
        <v>10.73</v>
      </c>
      <c r="CB88" s="60">
        <v>10.02</v>
      </c>
      <c r="CC88" s="60">
        <v>5.89</v>
      </c>
      <c r="CD88" s="65">
        <f t="shared" si="83"/>
        <v>86.237188872620791</v>
      </c>
      <c r="CE88" s="60"/>
      <c r="CF88" s="79">
        <f t="shared" si="102"/>
        <v>52.549374999999998</v>
      </c>
      <c r="CG88" s="71">
        <v>5.29</v>
      </c>
      <c r="CH88" s="60">
        <v>9.76</v>
      </c>
      <c r="CI88" s="60">
        <v>8</v>
      </c>
      <c r="CJ88" s="60">
        <v>2.67</v>
      </c>
      <c r="CK88" s="59">
        <f t="shared" si="84"/>
        <v>50.472589792060482</v>
      </c>
      <c r="CL88" s="60"/>
      <c r="CM88" s="72">
        <f t="shared" si="85"/>
        <v>23.635599999999997</v>
      </c>
      <c r="CN88" s="81">
        <f t="shared" si="86"/>
        <v>1</v>
      </c>
      <c r="CO88" s="59">
        <f t="shared" si="87"/>
        <v>25.874884999999999</v>
      </c>
      <c r="CP88" s="59">
        <f t="shared" si="88"/>
        <v>1</v>
      </c>
      <c r="CQ88" s="59">
        <f t="shared" si="89"/>
        <v>127.09184999999999</v>
      </c>
      <c r="CR88" s="59">
        <f>IF(AV88&gt;0,'Look Ups'!$L$3,0)</f>
        <v>1</v>
      </c>
      <c r="CS88" s="59">
        <f t="shared" si="103"/>
        <v>0</v>
      </c>
      <c r="CT88" s="59">
        <f t="shared" si="104"/>
        <v>0</v>
      </c>
      <c r="CU88" s="59">
        <f t="shared" si="105"/>
        <v>0</v>
      </c>
      <c r="CV88" s="79">
        <f t="shared" si="106"/>
        <v>0</v>
      </c>
      <c r="CW88" s="82" t="str">
        <f t="shared" si="90"/>
        <v>ERROR</v>
      </c>
      <c r="CX88" s="65">
        <f t="shared" si="91"/>
        <v>0</v>
      </c>
      <c r="CY88" s="66" t="str">
        <f t="shared" si="92"/>
        <v>MG</v>
      </c>
      <c r="CZ88" s="81">
        <f t="shared" si="93"/>
        <v>152.966735</v>
      </c>
      <c r="DA88" s="59">
        <f t="shared" si="94"/>
        <v>-22.3627425</v>
      </c>
      <c r="DB88" s="59">
        <f t="shared" si="95"/>
        <v>-36.209687499999994</v>
      </c>
      <c r="DC88" s="59">
        <f t="shared" si="96"/>
        <v>-21.990030124999997</v>
      </c>
      <c r="DD88" s="59">
        <f t="shared" si="97"/>
        <v>-5.69009375</v>
      </c>
      <c r="DE88" s="79">
        <f t="shared" si="98"/>
        <v>142.03530277999999</v>
      </c>
      <c r="DF88" s="83">
        <f t="shared" si="99"/>
        <v>142.03530277999999</v>
      </c>
      <c r="DG88" s="365"/>
    </row>
    <row r="89" spans="1:255" ht="16.5" customHeight="1" x14ac:dyDescent="0.25">
      <c r="B89" s="414"/>
      <c r="C89" s="414" t="s">
        <v>394</v>
      </c>
      <c r="D89" s="84" t="s">
        <v>152</v>
      </c>
      <c r="E89" s="49" t="s">
        <v>395</v>
      </c>
      <c r="F89" s="415">
        <f t="shared" si="75"/>
        <v>0.88388252700247938</v>
      </c>
      <c r="G89" s="415" t="str">
        <f t="shared" ca="1" si="76"/>
        <v>Yes</v>
      </c>
      <c r="H89" s="51" t="str">
        <f t="shared" si="77"/>
        <v>Main - Genoa - Screacher - Spinnaker</v>
      </c>
      <c r="I89" s="52">
        <v>42017</v>
      </c>
      <c r="J89" s="52">
        <v>44570</v>
      </c>
      <c r="K89" s="53" t="s">
        <v>484</v>
      </c>
      <c r="L89" s="53" t="s">
        <v>299</v>
      </c>
      <c r="M89" s="54"/>
      <c r="N89" s="75" t="s">
        <v>127</v>
      </c>
      <c r="O89" s="75" t="s">
        <v>128</v>
      </c>
      <c r="P89" s="85"/>
      <c r="Q89" s="57">
        <v>8.19</v>
      </c>
      <c r="R89" s="58"/>
      <c r="S89" s="59">
        <f t="shared" si="74"/>
        <v>0.20474999999999999</v>
      </c>
      <c r="T89" s="60">
        <v>0.06</v>
      </c>
      <c r="U89" s="60">
        <v>0.16</v>
      </c>
      <c r="V89" s="61">
        <f t="shared" si="108"/>
        <v>7.9699999999999989</v>
      </c>
      <c r="W89" s="62">
        <f>IF(RL&gt;0,IF(RL&gt;'Look Ups'!R$7,'Look Ups'!R$8,('Look Ups'!R$3*RL^3+'Look Ups'!R$4*RL^2+'Look Ups'!R$5*RL+'Look Ups'!R$6)),0)</f>
        <v>0.29369237190899999</v>
      </c>
      <c r="X89" s="63">
        <v>1107</v>
      </c>
      <c r="Y89" s="64"/>
      <c r="Z89" s="417"/>
      <c r="AA89" s="417"/>
      <c r="AB89" s="65">
        <f t="shared" si="78"/>
        <v>1107</v>
      </c>
      <c r="AC89" s="66">
        <f t="shared" si="79"/>
        <v>1107</v>
      </c>
      <c r="AD89" s="67" t="s">
        <v>129</v>
      </c>
      <c r="AE89" s="68" t="s">
        <v>130</v>
      </c>
      <c r="AF89" s="69" t="s">
        <v>131</v>
      </c>
      <c r="AG89" s="70">
        <f>IF(C89="",0,VLOOKUP(AD89,'Look Ups'!$B$3:$C$6,2,0)*VLOOKUP(AE89,'Look Ups'!$E$3:$F$5,2,0)*VLOOKUP(AF89,'Look Ups'!$H$3:$I$7,2,0))</f>
        <v>1</v>
      </c>
      <c r="AH89" s="71">
        <v>10.57</v>
      </c>
      <c r="AI89" s="60">
        <v>10.339</v>
      </c>
      <c r="AJ89" s="60">
        <v>3.165</v>
      </c>
      <c r="AK89" s="60">
        <v>1.1399999999999999</v>
      </c>
      <c r="AL89" s="60">
        <v>0.55900000000000005</v>
      </c>
      <c r="AM89" s="60">
        <v>10.32</v>
      </c>
      <c r="AN89" s="60">
        <v>-3.1E-2</v>
      </c>
      <c r="AO89" s="60">
        <v>3.242</v>
      </c>
      <c r="AP89" s="60">
        <v>0.04</v>
      </c>
      <c r="AQ89" s="60">
        <v>0.49</v>
      </c>
      <c r="AR89" s="60" t="s">
        <v>132</v>
      </c>
      <c r="AS89" s="75" t="s">
        <v>868</v>
      </c>
      <c r="AT89" s="59">
        <f t="shared" si="80"/>
        <v>10.36</v>
      </c>
      <c r="AU89" s="59">
        <f t="shared" si="81"/>
        <v>1.8963000000000001</v>
      </c>
      <c r="AV89" s="72">
        <f>IF(C89="",0,(0.5*(_ML1*LPM)+0.5*(_ML1*HB)+0.66*(P*PR)+0.66*(_ML2*RDM)+0.66*(E*ER))*VLOOKUP(BATT,'Look Ups'!$N$3:$O$4,2,0))</f>
        <v>26.440837260000002</v>
      </c>
      <c r="AW89" s="73"/>
      <c r="AX89" s="74"/>
      <c r="AY89" s="71">
        <v>8.7750000000000004</v>
      </c>
      <c r="AZ89" s="60">
        <v>2.6549999999999998</v>
      </c>
      <c r="BA89" s="60">
        <v>2.94</v>
      </c>
      <c r="BB89" s="60">
        <v>4.4999999999999998E-2</v>
      </c>
      <c r="BC89" s="60">
        <v>7.94</v>
      </c>
      <c r="BD89" s="60"/>
      <c r="BE89" s="60"/>
      <c r="BF89" s="60">
        <v>0.105</v>
      </c>
      <c r="BG89" s="60">
        <v>-3.5000000000000003E-2</v>
      </c>
      <c r="BH89" s="75"/>
      <c r="BI89" s="72">
        <f t="shared" si="82"/>
        <v>12.08367</v>
      </c>
      <c r="BJ89" s="76"/>
      <c r="BK89" s="77"/>
      <c r="BL89" s="78"/>
      <c r="BM89" s="78"/>
      <c r="BN89" s="77"/>
      <c r="BO89" s="78"/>
      <c r="BP89" s="78"/>
      <c r="BQ89" s="79">
        <f t="shared" ref="BQ89:BQ114" si="109">(0.5*LLS*LPS)+(0.66*LLS*LLRS)+(0.66*LS*LRS)+(0.66*FS*FRS)</f>
        <v>0</v>
      </c>
      <c r="BR89" s="80"/>
      <c r="BS89" s="77"/>
      <c r="BT89" s="77"/>
      <c r="BU89" s="77"/>
      <c r="BV89" s="77"/>
      <c r="BW89" s="77"/>
      <c r="BX89" s="77"/>
      <c r="BY89" s="72">
        <f t="shared" ref="BY89:BY114" si="110">(0.5*LLD*LPD)+(0.66*LLD*LLRD)+(0.66*LCHD*LRD)+(0.66*FD*FRD)</f>
        <v>0</v>
      </c>
      <c r="BZ89" s="73">
        <v>7.43</v>
      </c>
      <c r="CA89" s="60">
        <v>11.57</v>
      </c>
      <c r="CB89" s="60">
        <v>10.48</v>
      </c>
      <c r="CC89" s="60">
        <v>6.99</v>
      </c>
      <c r="CD89" s="65">
        <f t="shared" si="83"/>
        <v>94.078061911170934</v>
      </c>
      <c r="CE89" s="75">
        <v>0</v>
      </c>
      <c r="CF89" s="79">
        <f t="shared" si="102"/>
        <v>65.029125000000008</v>
      </c>
      <c r="CG89" s="71">
        <v>6.52</v>
      </c>
      <c r="CH89" s="60">
        <v>9.84</v>
      </c>
      <c r="CI89" s="60">
        <v>8.75</v>
      </c>
      <c r="CJ89" s="60">
        <v>3.29</v>
      </c>
      <c r="CK89" s="59">
        <f t="shared" si="84"/>
        <v>50.46012269938651</v>
      </c>
      <c r="CL89" s="75">
        <v>0</v>
      </c>
      <c r="CM89" s="72">
        <f t="shared" si="85"/>
        <v>30.487599999999997</v>
      </c>
      <c r="CN89" s="81">
        <f t="shared" si="86"/>
        <v>1</v>
      </c>
      <c r="CO89" s="59">
        <f t="shared" si="87"/>
        <v>28.337137260000002</v>
      </c>
      <c r="CP89" s="59">
        <f t="shared" si="88"/>
        <v>1</v>
      </c>
      <c r="CQ89" s="59">
        <f t="shared" si="89"/>
        <v>12.08367</v>
      </c>
      <c r="CR89" s="59">
        <f>IF(AV89&gt;0,'Look Ups'!$L$3,0)</f>
        <v>1</v>
      </c>
      <c r="CS89" s="59">
        <f t="shared" si="103"/>
        <v>0</v>
      </c>
      <c r="CT89" s="59">
        <f t="shared" si="104"/>
        <v>0</v>
      </c>
      <c r="CU89" s="59">
        <f t="shared" si="105"/>
        <v>0</v>
      </c>
      <c r="CV89" s="79">
        <f t="shared" si="106"/>
        <v>0</v>
      </c>
      <c r="CW89" s="82" t="str">
        <f t="shared" si="90"/>
        <v>valid</v>
      </c>
      <c r="CX89" s="65" t="str">
        <f t="shared" si="91"/>
        <v>valid</v>
      </c>
      <c r="CY89" s="66" t="str">
        <f t="shared" si="92"/>
        <v>MGScrSp</v>
      </c>
      <c r="CZ89" s="81">
        <f t="shared" si="93"/>
        <v>40.420807260000004</v>
      </c>
      <c r="DA89" s="59">
        <f t="shared" si="94"/>
        <v>15.883636500000001</v>
      </c>
      <c r="DB89" s="59">
        <f t="shared" si="95"/>
        <v>6.4413754999999977</v>
      </c>
      <c r="DC89" s="59">
        <f t="shared" si="96"/>
        <v>15.618909225000001</v>
      </c>
      <c r="DD89" s="59">
        <f t="shared" si="97"/>
        <v>1.0122161499999998</v>
      </c>
      <c r="DE89" s="79">
        <f t="shared" si="98"/>
        <v>42.176181724080003</v>
      </c>
      <c r="DF89" s="83">
        <f t="shared" si="99"/>
        <v>57.051932635000007</v>
      </c>
      <c r="DG89" s="412"/>
    </row>
    <row r="90" spans="1:255" ht="16.5" customHeight="1" x14ac:dyDescent="0.25">
      <c r="B90" s="414"/>
      <c r="C90" s="414" t="s">
        <v>398</v>
      </c>
      <c r="D90" s="48" t="s">
        <v>340</v>
      </c>
      <c r="E90" s="49" t="s">
        <v>994</v>
      </c>
      <c r="F90" s="415">
        <f t="shared" si="75"/>
        <v>0.79876149179048417</v>
      </c>
      <c r="G90" s="415" t="str">
        <f t="shared" ca="1" si="76"/>
        <v>Yes</v>
      </c>
      <c r="H90" s="51" t="str">
        <f t="shared" si="77"/>
        <v>Main - Genoa - Spinnaker</v>
      </c>
      <c r="I90" s="358">
        <v>44665</v>
      </c>
      <c r="J90" s="52">
        <v>44665</v>
      </c>
      <c r="K90" s="53" t="s">
        <v>1079</v>
      </c>
      <c r="L90" s="53" t="s">
        <v>614</v>
      </c>
      <c r="M90" s="357"/>
      <c r="N90" s="55" t="s">
        <v>149</v>
      </c>
      <c r="O90" s="55"/>
      <c r="P90" s="56"/>
      <c r="Q90" s="57">
        <v>15.59</v>
      </c>
      <c r="R90" s="58"/>
      <c r="S90" s="59">
        <f t="shared" si="74"/>
        <v>0.38975000000000004</v>
      </c>
      <c r="T90" s="60"/>
      <c r="U90" s="60">
        <v>0</v>
      </c>
      <c r="V90" s="61">
        <f t="shared" si="108"/>
        <v>15.59</v>
      </c>
      <c r="W90" s="62">
        <f>IF(RL&gt;0,IF(RL&gt;'Look Ups'!R$7,'Look Ups'!R$8,('Look Ups'!R$3*RL^3+'Look Ups'!R$4*RL^2+'Look Ups'!R$5*RL+'Look Ups'!R$6)),0)</f>
        <v>0.3</v>
      </c>
      <c r="X90" s="63">
        <v>9915</v>
      </c>
      <c r="Y90" s="64"/>
      <c r="Z90" s="64"/>
      <c r="AA90" s="64"/>
      <c r="AB90" s="65">
        <f t="shared" si="78"/>
        <v>9915</v>
      </c>
      <c r="AC90" s="66">
        <f t="shared" si="79"/>
        <v>9915</v>
      </c>
      <c r="AD90" s="67" t="s">
        <v>129</v>
      </c>
      <c r="AE90" s="68" t="s">
        <v>130</v>
      </c>
      <c r="AF90" s="69" t="s">
        <v>161</v>
      </c>
      <c r="AG90" s="70">
        <f>IF(C90="",0,VLOOKUP(AD90,'Look Ups'!$B$3:$C$6,2,0)*VLOOKUP(AE90,'Look Ups'!$E$3:$F$5,2,0)*VLOOKUP(AF90,'Look Ups'!$H$3:$I$7,2,0))</f>
        <v>0.99</v>
      </c>
      <c r="AH90" s="71">
        <v>17.940000000000001</v>
      </c>
      <c r="AI90" s="60">
        <v>17.43</v>
      </c>
      <c r="AJ90" s="60">
        <v>4.87</v>
      </c>
      <c r="AK90" s="60">
        <v>1.74</v>
      </c>
      <c r="AL90" s="60">
        <v>0.53</v>
      </c>
      <c r="AM90" s="60">
        <v>17.649999999999999</v>
      </c>
      <c r="AN90" s="60">
        <v>0.22</v>
      </c>
      <c r="AO90" s="60">
        <v>5</v>
      </c>
      <c r="AP90" s="60">
        <v>0.04</v>
      </c>
      <c r="AQ90" s="60">
        <v>1</v>
      </c>
      <c r="AR90" s="60" t="s">
        <v>132</v>
      </c>
      <c r="AS90" s="75">
        <v>0</v>
      </c>
      <c r="AT90" s="59">
        <f t="shared" si="80"/>
        <v>17.689999999999998</v>
      </c>
      <c r="AU90" s="59">
        <f t="shared" si="81"/>
        <v>6.6187499999999995</v>
      </c>
      <c r="AV90" s="72">
        <f>IF(C90="",0,(0.5*(_ML1*LPM)+0.5*(_ML1*HB)+0.66*(P*PR)+0.66*(_ML2*RDM)+0.66*(E*ER))*VLOOKUP(BATT,'Look Ups'!$N$3:$O$4,2,0))</f>
        <v>68.083494000000002</v>
      </c>
      <c r="AW90" s="73"/>
      <c r="AX90" s="74"/>
      <c r="AY90" s="71">
        <v>14.9</v>
      </c>
      <c r="AZ90" s="60">
        <v>6.3</v>
      </c>
      <c r="BA90" s="60">
        <v>7.4</v>
      </c>
      <c r="BB90" s="60">
        <v>5.5E-2</v>
      </c>
      <c r="BC90" s="60">
        <v>12.65</v>
      </c>
      <c r="BD90" s="60"/>
      <c r="BE90" s="60"/>
      <c r="BF90" s="60">
        <v>-0.4</v>
      </c>
      <c r="BG90" s="60">
        <v>-0.02</v>
      </c>
      <c r="BH90" s="75">
        <v>0</v>
      </c>
      <c r="BI90" s="72">
        <f t="shared" si="82"/>
        <v>43.667340000000003</v>
      </c>
      <c r="BJ90" s="76"/>
      <c r="BK90" s="77"/>
      <c r="BL90" s="78"/>
      <c r="BM90" s="78"/>
      <c r="BN90" s="77"/>
      <c r="BO90" s="78"/>
      <c r="BP90" s="78"/>
      <c r="BQ90" s="79">
        <f t="shared" si="109"/>
        <v>0</v>
      </c>
      <c r="BR90" s="80"/>
      <c r="BS90" s="77"/>
      <c r="BT90" s="77"/>
      <c r="BU90" s="77"/>
      <c r="BV90" s="77"/>
      <c r="BW90" s="77"/>
      <c r="BX90" s="77"/>
      <c r="BY90" s="72">
        <f t="shared" si="110"/>
        <v>0</v>
      </c>
      <c r="BZ90" s="73">
        <v>11.83</v>
      </c>
      <c r="CA90" s="60">
        <v>17.440000000000001</v>
      </c>
      <c r="CB90" s="60">
        <v>19.98</v>
      </c>
      <c r="CC90" s="60">
        <v>11.08</v>
      </c>
      <c r="CD90" s="65">
        <f t="shared" si="83"/>
        <v>93.660185967878277</v>
      </c>
      <c r="CE90" s="60">
        <v>0</v>
      </c>
      <c r="CF90" s="79">
        <f t="shared" si="102"/>
        <v>175.09441666666669</v>
      </c>
      <c r="CG90" s="71"/>
      <c r="CH90" s="60"/>
      <c r="CI90" s="60"/>
      <c r="CJ90" s="60"/>
      <c r="CK90" s="59" t="str">
        <f t="shared" si="84"/>
        <v/>
      </c>
      <c r="CL90" s="60">
        <v>0</v>
      </c>
      <c r="CM90" s="72">
        <f t="shared" si="85"/>
        <v>0</v>
      </c>
      <c r="CN90" s="81">
        <f t="shared" si="86"/>
        <v>1</v>
      </c>
      <c r="CO90" s="59">
        <f t="shared" si="87"/>
        <v>74.702244000000007</v>
      </c>
      <c r="CP90" s="59">
        <f t="shared" si="88"/>
        <v>1</v>
      </c>
      <c r="CQ90" s="59">
        <f t="shared" si="89"/>
        <v>43.667340000000003</v>
      </c>
      <c r="CR90" s="59">
        <f>IF(AV90&gt;0,'Look Ups'!$L$3,0)</f>
        <v>1</v>
      </c>
      <c r="CS90" s="59">
        <f t="shared" si="103"/>
        <v>0</v>
      </c>
      <c r="CT90" s="59">
        <f t="shared" si="104"/>
        <v>0</v>
      </c>
      <c r="CU90" s="59">
        <f t="shared" si="105"/>
        <v>0</v>
      </c>
      <c r="CV90" s="79">
        <f t="shared" si="106"/>
        <v>0</v>
      </c>
      <c r="CW90" s="82" t="str">
        <f t="shared" si="90"/>
        <v>-</v>
      </c>
      <c r="CX90" s="65" t="str">
        <f t="shared" si="91"/>
        <v>valid</v>
      </c>
      <c r="CY90" s="66" t="str">
        <f t="shared" si="92"/>
        <v>MGSp</v>
      </c>
      <c r="CZ90" s="81">
        <f t="shared" si="93"/>
        <v>118.369584</v>
      </c>
      <c r="DA90" s="59">
        <f t="shared" si="94"/>
        <v>39.428123000000006</v>
      </c>
      <c r="DB90" s="59">
        <f t="shared" si="95"/>
        <v>0</v>
      </c>
      <c r="DC90" s="59">
        <f t="shared" si="96"/>
        <v>38.770987616666673</v>
      </c>
      <c r="DD90" s="59">
        <f t="shared" si="97"/>
        <v>0</v>
      </c>
      <c r="DE90" s="79">
        <f t="shared" si="98"/>
        <v>121.721353632</v>
      </c>
      <c r="DF90" s="83">
        <f t="shared" si="99"/>
        <v>157.797707</v>
      </c>
      <c r="DG90" s="412"/>
    </row>
    <row r="91" spans="1:255" ht="16.5" customHeight="1" x14ac:dyDescent="0.25">
      <c r="B91" s="416"/>
      <c r="C91" s="414" t="s">
        <v>1062</v>
      </c>
      <c r="D91" s="48" t="s">
        <v>458</v>
      </c>
      <c r="E91" s="49" t="s">
        <v>1020</v>
      </c>
      <c r="F91" s="415">
        <f t="shared" si="75"/>
        <v>1.3185710898139713</v>
      </c>
      <c r="G91" s="415" t="str">
        <f t="shared" ca="1" si="76"/>
        <v>Yes</v>
      </c>
      <c r="H91" s="51" t="str">
        <f t="shared" si="77"/>
        <v>Main - Genoa - Screacher</v>
      </c>
      <c r="I91" s="52">
        <v>43868</v>
      </c>
      <c r="J91" s="52">
        <v>44419</v>
      </c>
      <c r="K91" s="208" t="s">
        <v>1021</v>
      </c>
      <c r="L91" s="53" t="s">
        <v>299</v>
      </c>
      <c r="M91" s="54"/>
      <c r="N91" s="55" t="s">
        <v>127</v>
      </c>
      <c r="O91" s="55" t="s">
        <v>458</v>
      </c>
      <c r="P91" s="56"/>
      <c r="Q91" s="57">
        <v>18.28</v>
      </c>
      <c r="R91" s="58"/>
      <c r="S91" s="59">
        <f t="shared" si="74"/>
        <v>0.45700000000000007</v>
      </c>
      <c r="T91" s="60"/>
      <c r="U91" s="60">
        <v>0</v>
      </c>
      <c r="V91" s="61">
        <f t="shared" si="108"/>
        <v>18.28</v>
      </c>
      <c r="W91" s="62">
        <f>IF(RL&gt;0,IF(RL&gt;'Look Ups'!R$7,'Look Ups'!R$8,('Look Ups'!R$3*RL^3+'Look Ups'!R$4*RL^2+'Look Ups'!R$5*RL+'Look Ups'!R$6)),0)</f>
        <v>0.3</v>
      </c>
      <c r="X91" s="63">
        <v>6884</v>
      </c>
      <c r="Y91" s="206"/>
      <c r="Z91" s="64"/>
      <c r="AA91" s="64"/>
      <c r="AB91" s="65">
        <f t="shared" si="78"/>
        <v>6884</v>
      </c>
      <c r="AC91" s="66">
        <f t="shared" si="79"/>
        <v>6884</v>
      </c>
      <c r="AD91" s="67" t="s">
        <v>129</v>
      </c>
      <c r="AE91" s="68" t="s">
        <v>130</v>
      </c>
      <c r="AF91" s="69" t="s">
        <v>300</v>
      </c>
      <c r="AG91" s="70">
        <f>IF(C91="",0,VLOOKUP(AD91,'Look Ups'!$B$3:$C$6,2,0)*VLOOKUP(AE91,'Look Ups'!$E$3:$F$5,2,0)*VLOOKUP(AF91,'Look Ups'!$H$3:$I$7,2,0))</f>
        <v>0.995</v>
      </c>
      <c r="AH91" s="71">
        <v>27.73</v>
      </c>
      <c r="AI91" s="60">
        <v>27.11</v>
      </c>
      <c r="AJ91" s="60">
        <v>7.99</v>
      </c>
      <c r="AK91" s="60">
        <v>2.76</v>
      </c>
      <c r="AL91" s="60">
        <v>0.98</v>
      </c>
      <c r="AM91" s="60">
        <v>27.6</v>
      </c>
      <c r="AN91" s="60">
        <v>0.2</v>
      </c>
      <c r="AO91" s="60">
        <v>8.1</v>
      </c>
      <c r="AP91" s="60">
        <v>0.14000000000000001</v>
      </c>
      <c r="AQ91" s="60">
        <v>1.97</v>
      </c>
      <c r="AR91" s="60" t="s">
        <v>132</v>
      </c>
      <c r="AS91" s="75">
        <v>0</v>
      </c>
      <c r="AT91" s="59">
        <f t="shared" si="80"/>
        <v>27.740000000000002</v>
      </c>
      <c r="AU91" s="59">
        <f t="shared" si="81"/>
        <v>20.389500000000002</v>
      </c>
      <c r="AV91" s="72">
        <f>IF(C91="",0,(0.5*(_ML1*LPM)+0.5*(_ML1*HB)+0.66*(P*PR)+0.66*(_ML2*RDM)+0.66*(E*ER))*VLOOKUP(BATT,'Look Ups'!$N$3:$O$4,2,0))</f>
        <v>170.97513799999999</v>
      </c>
      <c r="AW91" s="73"/>
      <c r="AX91" s="74"/>
      <c r="AY91" s="71">
        <v>25.74</v>
      </c>
      <c r="AZ91" s="60">
        <v>9.27</v>
      </c>
      <c r="BA91" s="60">
        <v>9.8699999999999992</v>
      </c>
      <c r="BB91" s="60">
        <v>0.3</v>
      </c>
      <c r="BC91" s="60">
        <v>24.16</v>
      </c>
      <c r="BD91" s="60"/>
      <c r="BE91" s="60"/>
      <c r="BF91" s="60">
        <v>-0.39</v>
      </c>
      <c r="BG91" s="60">
        <v>0.04</v>
      </c>
      <c r="BH91" s="75">
        <v>0</v>
      </c>
      <c r="BI91" s="72">
        <f t="shared" si="82"/>
        <v>115.71991199999999</v>
      </c>
      <c r="BJ91" s="76"/>
      <c r="BK91" s="77"/>
      <c r="BL91" s="78"/>
      <c r="BM91" s="78"/>
      <c r="BN91" s="77"/>
      <c r="BO91" s="78"/>
      <c r="BP91" s="78"/>
      <c r="BQ91" s="79">
        <f t="shared" si="109"/>
        <v>0</v>
      </c>
      <c r="BR91" s="80"/>
      <c r="BS91" s="77"/>
      <c r="BT91" s="77"/>
      <c r="BU91" s="77"/>
      <c r="BV91" s="77"/>
      <c r="BW91" s="77"/>
      <c r="BX91" s="77"/>
      <c r="BY91" s="72">
        <f t="shared" si="110"/>
        <v>0</v>
      </c>
      <c r="BZ91" s="73"/>
      <c r="CA91" s="60"/>
      <c r="CB91" s="60"/>
      <c r="CC91" s="60"/>
      <c r="CD91" s="65" t="str">
        <f t="shared" si="83"/>
        <v/>
      </c>
      <c r="CE91" s="60">
        <v>0</v>
      </c>
      <c r="CF91" s="79">
        <f t="shared" si="102"/>
        <v>0</v>
      </c>
      <c r="CG91" s="71">
        <v>18.2</v>
      </c>
      <c r="CH91" s="60">
        <v>30.4</v>
      </c>
      <c r="CI91" s="60">
        <v>27.6</v>
      </c>
      <c r="CJ91" s="60">
        <v>9.25</v>
      </c>
      <c r="CK91" s="59">
        <f t="shared" si="84"/>
        <v>50.824175824175825</v>
      </c>
      <c r="CL91" s="60">
        <v>0</v>
      </c>
      <c r="CM91" s="72">
        <f t="shared" si="85"/>
        <v>266.8</v>
      </c>
      <c r="CN91" s="81">
        <f t="shared" si="86"/>
        <v>1</v>
      </c>
      <c r="CO91" s="59">
        <f t="shared" si="87"/>
        <v>191.36463799999999</v>
      </c>
      <c r="CP91" s="59">
        <f t="shared" si="88"/>
        <v>1</v>
      </c>
      <c r="CQ91" s="59">
        <f t="shared" si="89"/>
        <v>115.71991199999999</v>
      </c>
      <c r="CR91" s="59">
        <f>IF(AV91&gt;0,'Look Ups'!$L$3,0)</f>
        <v>1</v>
      </c>
      <c r="CS91" s="59">
        <f t="shared" si="103"/>
        <v>0</v>
      </c>
      <c r="CT91" s="59">
        <f t="shared" si="104"/>
        <v>0</v>
      </c>
      <c r="CU91" s="59">
        <f t="shared" si="105"/>
        <v>0</v>
      </c>
      <c r="CV91" s="79">
        <f t="shared" si="106"/>
        <v>0</v>
      </c>
      <c r="CW91" s="82" t="str">
        <f t="shared" si="90"/>
        <v>valid</v>
      </c>
      <c r="CX91" s="65" t="str">
        <f t="shared" si="91"/>
        <v>-</v>
      </c>
      <c r="CY91" s="66" t="str">
        <f t="shared" si="92"/>
        <v>MGScr</v>
      </c>
      <c r="CZ91" s="81">
        <f t="shared" si="93"/>
        <v>307.08454999999998</v>
      </c>
      <c r="DA91" s="59">
        <f t="shared" si="94"/>
        <v>0</v>
      </c>
      <c r="DB91" s="59">
        <f t="shared" si="95"/>
        <v>52.878030800000005</v>
      </c>
      <c r="DC91" s="59">
        <f t="shared" si="96"/>
        <v>0</v>
      </c>
      <c r="DD91" s="59">
        <f t="shared" si="97"/>
        <v>8.3094048400000009</v>
      </c>
      <c r="DE91" s="79">
        <f t="shared" si="98"/>
        <v>315.25418040799997</v>
      </c>
      <c r="DF91" s="83">
        <f t="shared" si="99"/>
        <v>359.96258079999996</v>
      </c>
      <c r="DG91" s="412"/>
    </row>
    <row r="92" spans="1:255" ht="16.5" customHeight="1" x14ac:dyDescent="0.25">
      <c r="B92" s="414"/>
      <c r="C92" s="414" t="s">
        <v>400</v>
      </c>
      <c r="D92" s="48" t="s">
        <v>227</v>
      </c>
      <c r="E92" s="49" t="s">
        <v>312</v>
      </c>
      <c r="F92" s="415">
        <f t="shared" si="75"/>
        <v>0.77801075764436955</v>
      </c>
      <c r="G92" s="415" t="str">
        <f t="shared" ca="1" si="76"/>
        <v>Yes</v>
      </c>
      <c r="H92" s="51" t="str">
        <f t="shared" si="77"/>
        <v>Main - Genoa - Spinnaker</v>
      </c>
      <c r="I92" s="52">
        <v>41512</v>
      </c>
      <c r="J92" s="52">
        <v>41494</v>
      </c>
      <c r="K92" s="53" t="s">
        <v>218</v>
      </c>
      <c r="L92" s="53" t="s">
        <v>137</v>
      </c>
      <c r="M92" s="54"/>
      <c r="N92" s="55" t="s">
        <v>149</v>
      </c>
      <c r="O92" s="55"/>
      <c r="P92" s="56"/>
      <c r="Q92" s="57">
        <v>11.14</v>
      </c>
      <c r="R92" s="58"/>
      <c r="S92" s="59">
        <f t="shared" si="74"/>
        <v>0.27850000000000003</v>
      </c>
      <c r="T92" s="60">
        <v>7.0000000000000007E-2</v>
      </c>
      <c r="U92" s="60">
        <v>0</v>
      </c>
      <c r="V92" s="61">
        <f t="shared" si="108"/>
        <v>11.07</v>
      </c>
      <c r="W92" s="62">
        <f>IF(RL&gt;0,IF(RL&gt;'Look Ups'!R$7,'Look Ups'!R$8,('Look Ups'!R$3*RL^3+'Look Ups'!R$4*RL^2+'Look Ups'!R$5*RL+'Look Ups'!R$6)),0)</f>
        <v>0.29956901741899999</v>
      </c>
      <c r="X92" s="63">
        <v>4156</v>
      </c>
      <c r="Y92" s="289"/>
      <c r="Z92" s="257"/>
      <c r="AA92" s="257"/>
      <c r="AB92" s="290">
        <f t="shared" si="78"/>
        <v>4156</v>
      </c>
      <c r="AC92" s="66">
        <f t="shared" si="79"/>
        <v>4156</v>
      </c>
      <c r="AD92" s="67" t="s">
        <v>129</v>
      </c>
      <c r="AE92" s="68" t="s">
        <v>130</v>
      </c>
      <c r="AF92" s="69" t="s">
        <v>131</v>
      </c>
      <c r="AG92" s="70">
        <f>IF(C92="",0,VLOOKUP(AD92,'Look Ups'!$B$3:$C$6,2,0)*VLOOKUP(AE92,'Look Ups'!$E$3:$F$5,2,0)*VLOOKUP(AF92,'Look Ups'!$H$3:$I$7,2,0))</f>
        <v>1</v>
      </c>
      <c r="AH92" s="71">
        <v>12.77</v>
      </c>
      <c r="AI92" s="60">
        <v>12.45</v>
      </c>
      <c r="AJ92" s="60">
        <v>4.3099999999999996</v>
      </c>
      <c r="AK92" s="60">
        <v>1.34</v>
      </c>
      <c r="AL92" s="60">
        <v>0.61</v>
      </c>
      <c r="AM92" s="60">
        <v>12.38</v>
      </c>
      <c r="AN92" s="60">
        <v>0.14000000000000001</v>
      </c>
      <c r="AO92" s="60">
        <v>4.49</v>
      </c>
      <c r="AP92" s="60">
        <v>0.03</v>
      </c>
      <c r="AQ92" s="60"/>
      <c r="AR92" s="60" t="s">
        <v>132</v>
      </c>
      <c r="AS92" s="75"/>
      <c r="AT92" s="59">
        <f t="shared" si="80"/>
        <v>12.41</v>
      </c>
      <c r="AU92" s="59">
        <f t="shared" si="81"/>
        <v>0</v>
      </c>
      <c r="AV92" s="72">
        <f>IF(C92="",0,(0.5*(_ML1*LPM)+0.5*(_ML1*HB)+0.66*(P*PR)+0.66*(_ML2*RDM)+0.66*(E*ER))*VLOOKUP(BATT,'Look Ups'!$N$3:$O$4,2,0))</f>
        <v>42.320433999999992</v>
      </c>
      <c r="AW92" s="73"/>
      <c r="AX92" s="74"/>
      <c r="AY92" s="71">
        <v>12.54</v>
      </c>
      <c r="AZ92" s="60">
        <v>4.2699999999999996</v>
      </c>
      <c r="BA92" s="60">
        <v>4.95</v>
      </c>
      <c r="BB92" s="60">
        <v>0.14000000000000001</v>
      </c>
      <c r="BC92" s="60">
        <v>10.79</v>
      </c>
      <c r="BD92" s="60"/>
      <c r="BE92" s="60"/>
      <c r="BF92" s="60">
        <v>-0.03</v>
      </c>
      <c r="BG92" s="60">
        <v>0</v>
      </c>
      <c r="BH92" s="75" t="s">
        <v>165</v>
      </c>
      <c r="BI92" s="72">
        <f t="shared" si="82"/>
        <v>27.016637999999997</v>
      </c>
      <c r="BJ92" s="76"/>
      <c r="BK92" s="77"/>
      <c r="BL92" s="78"/>
      <c r="BM92" s="78"/>
      <c r="BN92" s="77"/>
      <c r="BO92" s="78"/>
      <c r="BP92" s="78"/>
      <c r="BQ92" s="79">
        <f t="shared" si="109"/>
        <v>0</v>
      </c>
      <c r="BR92" s="80"/>
      <c r="BS92" s="77"/>
      <c r="BT92" s="77"/>
      <c r="BU92" s="77"/>
      <c r="BV92" s="77"/>
      <c r="BW92" s="77"/>
      <c r="BX92" s="77"/>
      <c r="BY92" s="72">
        <f t="shared" si="110"/>
        <v>0</v>
      </c>
      <c r="BZ92" s="73">
        <v>9.92</v>
      </c>
      <c r="CA92" s="60">
        <v>14.65</v>
      </c>
      <c r="CB92" s="60">
        <v>13.55</v>
      </c>
      <c r="CC92" s="60">
        <v>8.48</v>
      </c>
      <c r="CD92" s="65">
        <f t="shared" si="83"/>
        <v>85.483870967741936</v>
      </c>
      <c r="CE92" s="60"/>
      <c r="CF92" s="79">
        <f t="shared" si="102"/>
        <v>103.02400000000002</v>
      </c>
      <c r="CG92" s="71"/>
      <c r="CH92" s="60"/>
      <c r="CI92" s="60"/>
      <c r="CJ92" s="60"/>
      <c r="CK92" s="59" t="str">
        <f t="shared" si="84"/>
        <v/>
      </c>
      <c r="CL92" s="60"/>
      <c r="CM92" s="72">
        <f t="shared" si="85"/>
        <v>0</v>
      </c>
      <c r="CN92" s="81">
        <f t="shared" si="86"/>
        <v>1</v>
      </c>
      <c r="CO92" s="59">
        <f t="shared" si="87"/>
        <v>42.320433999999992</v>
      </c>
      <c r="CP92" s="59">
        <f t="shared" si="88"/>
        <v>1</v>
      </c>
      <c r="CQ92" s="59">
        <f t="shared" si="89"/>
        <v>27.016637999999997</v>
      </c>
      <c r="CR92" s="59">
        <f>IF(AV92&gt;0,'Look Ups'!$L$3,0)</f>
        <v>1</v>
      </c>
      <c r="CS92" s="59">
        <f t="shared" si="103"/>
        <v>0</v>
      </c>
      <c r="CT92" s="59">
        <f t="shared" si="104"/>
        <v>0</v>
      </c>
      <c r="CU92" s="59">
        <f t="shared" si="105"/>
        <v>0</v>
      </c>
      <c r="CV92" s="79">
        <f t="shared" si="106"/>
        <v>0</v>
      </c>
      <c r="CW92" s="82" t="str">
        <f t="shared" si="90"/>
        <v>-</v>
      </c>
      <c r="CX92" s="65" t="str">
        <f t="shared" si="91"/>
        <v>valid</v>
      </c>
      <c r="CY92" s="66" t="str">
        <f t="shared" si="92"/>
        <v>MGSp</v>
      </c>
      <c r="CZ92" s="81">
        <f t="shared" si="93"/>
        <v>69.337071999999992</v>
      </c>
      <c r="DA92" s="59">
        <f t="shared" si="94"/>
        <v>22.802208600000004</v>
      </c>
      <c r="DB92" s="59">
        <f t="shared" si="95"/>
        <v>0</v>
      </c>
      <c r="DC92" s="59">
        <f t="shared" si="96"/>
        <v>22.422171790000004</v>
      </c>
      <c r="DD92" s="59">
        <f t="shared" si="97"/>
        <v>0</v>
      </c>
      <c r="DE92" s="79">
        <f t="shared" si="98"/>
        <v>70.989881967999992</v>
      </c>
      <c r="DF92" s="83">
        <f t="shared" si="99"/>
        <v>92.139280599999992</v>
      </c>
      <c r="DG92" s="412"/>
    </row>
    <row r="93" spans="1:255" ht="16.5" customHeight="1" x14ac:dyDescent="0.25">
      <c r="B93" s="414"/>
      <c r="C93" s="414" t="s">
        <v>401</v>
      </c>
      <c r="D93" s="48" t="s">
        <v>402</v>
      </c>
      <c r="E93" s="49" t="s">
        <v>403</v>
      </c>
      <c r="F93" s="415">
        <f t="shared" si="75"/>
        <v>0.70437233362474261</v>
      </c>
      <c r="G93" s="415" t="str">
        <f t="shared" ca="1" si="76"/>
        <v>Yes</v>
      </c>
      <c r="H93" s="51" t="str">
        <f t="shared" si="77"/>
        <v>Main - Genoa - Screacher - Spinnaker</v>
      </c>
      <c r="I93" s="52" t="s">
        <v>1047</v>
      </c>
      <c r="J93" s="52">
        <v>44231</v>
      </c>
      <c r="K93" s="53" t="s">
        <v>270</v>
      </c>
      <c r="L93" s="53" t="s">
        <v>137</v>
      </c>
      <c r="M93" s="54"/>
      <c r="N93" s="55" t="s">
        <v>149</v>
      </c>
      <c r="O93" s="55"/>
      <c r="P93" s="86">
        <v>7.1</v>
      </c>
      <c r="Q93" s="57">
        <v>14.32</v>
      </c>
      <c r="R93" s="58"/>
      <c r="S93" s="59">
        <f t="shared" si="74"/>
        <v>0.35800000000000004</v>
      </c>
      <c r="T93" s="60">
        <v>0.32</v>
      </c>
      <c r="U93" s="60">
        <v>0</v>
      </c>
      <c r="V93" s="61">
        <f t="shared" si="108"/>
        <v>14</v>
      </c>
      <c r="W93" s="62">
        <f>IF(RL&gt;0,IF(RL&gt;'Look Ups'!R$7,'Look Ups'!R$8,('Look Ups'!R$3*RL^3+'Look Ups'!R$4*RL^2+'Look Ups'!R$5*RL+'Look Ups'!R$6)),0)</f>
        <v>0.3</v>
      </c>
      <c r="X93" s="63">
        <v>10480</v>
      </c>
      <c r="Y93" s="64"/>
      <c r="Z93" s="64"/>
      <c r="AA93" s="64"/>
      <c r="AB93" s="65">
        <f t="shared" si="78"/>
        <v>10480</v>
      </c>
      <c r="AC93" s="66">
        <f t="shared" si="79"/>
        <v>10480</v>
      </c>
      <c r="AD93" s="67" t="s">
        <v>129</v>
      </c>
      <c r="AE93" s="68" t="s">
        <v>130</v>
      </c>
      <c r="AF93" s="69" t="s">
        <v>161</v>
      </c>
      <c r="AG93" s="70">
        <f>IF(C93="",0,VLOOKUP(AD93,'Look Ups'!$B$3:$C$6,2,0)*VLOOKUP(AE93,'Look Ups'!$E$3:$F$5,2,0)*VLOOKUP(AF93,'Look Ups'!$H$3:$I$7,2,0))</f>
        <v>0.99</v>
      </c>
      <c r="AH93" s="71">
        <v>16.59</v>
      </c>
      <c r="AI93" s="60">
        <v>16.14</v>
      </c>
      <c r="AJ93" s="60">
        <v>5.23</v>
      </c>
      <c r="AK93" s="60">
        <v>1.66</v>
      </c>
      <c r="AL93" s="60">
        <v>0.74</v>
      </c>
      <c r="AM93" s="60">
        <v>16.079999999999998</v>
      </c>
      <c r="AN93" s="60">
        <v>0.28999999999999998</v>
      </c>
      <c r="AO93" s="60">
        <v>5.44</v>
      </c>
      <c r="AP93" s="60">
        <v>0.06</v>
      </c>
      <c r="AQ93" s="60">
        <v>0.76</v>
      </c>
      <c r="AR93" s="60" t="s">
        <v>132</v>
      </c>
      <c r="AS93" s="75">
        <v>0</v>
      </c>
      <c r="AT93" s="59">
        <f t="shared" si="80"/>
        <v>16.139999999999997</v>
      </c>
      <c r="AU93" s="59">
        <f t="shared" si="81"/>
        <v>4.5827999999999998</v>
      </c>
      <c r="AV93" s="72">
        <f>IF(C93="",0,(0.5*(_ML1*LPM)+0.5*(_ML1*HB)+0.66*(P*PR)+0.66*(_ML2*RDM)+0.66*(E*ER))*VLOOKUP(BATT,'Look Ups'!$N$3:$O$4,2,0))</f>
        <v>68.328462000000002</v>
      </c>
      <c r="AW93" s="73"/>
      <c r="AX93" s="74"/>
      <c r="AY93" s="71">
        <v>14.35</v>
      </c>
      <c r="AZ93" s="60">
        <v>3.72</v>
      </c>
      <c r="BA93" s="60">
        <v>4.09</v>
      </c>
      <c r="BB93" s="60">
        <v>0.13</v>
      </c>
      <c r="BC93" s="60">
        <v>13.07</v>
      </c>
      <c r="BD93" s="60"/>
      <c r="BE93" s="60"/>
      <c r="BF93" s="60">
        <v>0.09</v>
      </c>
      <c r="BG93" s="60">
        <v>0</v>
      </c>
      <c r="BH93" s="75"/>
      <c r="BI93" s="72">
        <f t="shared" si="82"/>
        <v>27.818280000000001</v>
      </c>
      <c r="BJ93" s="76"/>
      <c r="BK93" s="77"/>
      <c r="BL93" s="78"/>
      <c r="BM93" s="78"/>
      <c r="BN93" s="77"/>
      <c r="BO93" s="78"/>
      <c r="BP93" s="78"/>
      <c r="BQ93" s="79">
        <f t="shared" si="109"/>
        <v>0</v>
      </c>
      <c r="BR93" s="80"/>
      <c r="BS93" s="77"/>
      <c r="BT93" s="77"/>
      <c r="BU93" s="77"/>
      <c r="BV93" s="77"/>
      <c r="BW93" s="77"/>
      <c r="BX93" s="77"/>
      <c r="BY93" s="72">
        <f t="shared" si="110"/>
        <v>0</v>
      </c>
      <c r="BZ93" s="73">
        <v>9.9</v>
      </c>
      <c r="CA93" s="60">
        <v>17.059999999999999</v>
      </c>
      <c r="CB93" s="60">
        <v>15.67</v>
      </c>
      <c r="CC93" s="60">
        <v>8.65</v>
      </c>
      <c r="CD93" s="65">
        <f t="shared" si="83"/>
        <v>87.37373737373737</v>
      </c>
      <c r="CE93" s="60">
        <v>0</v>
      </c>
      <c r="CF93" s="79">
        <f t="shared" si="102"/>
        <v>121.37375</v>
      </c>
      <c r="CG93" s="71">
        <v>9.32</v>
      </c>
      <c r="CH93" s="60">
        <v>16.53</v>
      </c>
      <c r="CI93" s="60">
        <v>13.13</v>
      </c>
      <c r="CJ93" s="60">
        <v>4.78</v>
      </c>
      <c r="CK93" s="59">
        <f t="shared" si="84"/>
        <v>51.287553648068673</v>
      </c>
      <c r="CL93" s="60">
        <v>0</v>
      </c>
      <c r="CM93" s="72">
        <f t="shared" si="85"/>
        <v>70.294200000000018</v>
      </c>
      <c r="CN93" s="81">
        <f t="shared" si="86"/>
        <v>1</v>
      </c>
      <c r="CO93" s="59">
        <f t="shared" si="87"/>
        <v>72.911262000000008</v>
      </c>
      <c r="CP93" s="59">
        <f t="shared" si="88"/>
        <v>1</v>
      </c>
      <c r="CQ93" s="59">
        <f t="shared" si="89"/>
        <v>27.818280000000001</v>
      </c>
      <c r="CR93" s="59">
        <f>IF(AV93&gt;0,'Look Ups'!$L$3,0)</f>
        <v>1</v>
      </c>
      <c r="CS93" s="59">
        <f t="shared" si="103"/>
        <v>0</v>
      </c>
      <c r="CT93" s="59">
        <f t="shared" si="104"/>
        <v>0</v>
      </c>
      <c r="CU93" s="59">
        <f t="shared" si="105"/>
        <v>0</v>
      </c>
      <c r="CV93" s="79">
        <f t="shared" si="106"/>
        <v>0</v>
      </c>
      <c r="CW93" s="82" t="str">
        <f t="shared" si="90"/>
        <v>valid</v>
      </c>
      <c r="CX93" s="65" t="str">
        <f t="shared" si="91"/>
        <v>valid</v>
      </c>
      <c r="CY93" s="66" t="str">
        <f t="shared" si="92"/>
        <v>MGScrSp</v>
      </c>
      <c r="CZ93" s="81">
        <f t="shared" si="93"/>
        <v>100.72954200000001</v>
      </c>
      <c r="DA93" s="59">
        <f t="shared" si="94"/>
        <v>28.066641000000001</v>
      </c>
      <c r="DB93" s="59">
        <f t="shared" si="95"/>
        <v>14.866572000000005</v>
      </c>
      <c r="DC93" s="59">
        <f t="shared" si="96"/>
        <v>27.598863649999998</v>
      </c>
      <c r="DD93" s="59">
        <f t="shared" si="97"/>
        <v>2.3361756000000011</v>
      </c>
      <c r="DE93" s="79">
        <f t="shared" si="98"/>
        <v>105.59958405600001</v>
      </c>
      <c r="DF93" s="83">
        <f t="shared" si="99"/>
        <v>130.66458125</v>
      </c>
      <c r="DG93" s="412"/>
    </row>
    <row r="94" spans="1:255" ht="16.5" customHeight="1" x14ac:dyDescent="0.25">
      <c r="B94" s="416"/>
      <c r="C94" s="414" t="s">
        <v>1045</v>
      </c>
      <c r="D94" s="48" t="s">
        <v>1049</v>
      </c>
      <c r="E94" s="49" t="s">
        <v>1046</v>
      </c>
      <c r="F94" s="415">
        <f t="shared" si="75"/>
        <v>1.1641141925303986</v>
      </c>
      <c r="G94" s="415" t="str">
        <f t="shared" ca="1" si="76"/>
        <v>Yes</v>
      </c>
      <c r="H94" s="51" t="str">
        <f t="shared" si="77"/>
        <v>Main - Genoa - Screacher</v>
      </c>
      <c r="I94" s="52">
        <v>44959</v>
      </c>
      <c r="J94" s="52">
        <v>44959</v>
      </c>
      <c r="K94" s="433" t="s">
        <v>614</v>
      </c>
      <c r="L94" s="53" t="s">
        <v>614</v>
      </c>
      <c r="M94" s="54"/>
      <c r="N94" s="55" t="s">
        <v>149</v>
      </c>
      <c r="O94" s="55"/>
      <c r="P94" s="56"/>
      <c r="Q94" s="57">
        <v>8.5399999999999991</v>
      </c>
      <c r="R94" s="58"/>
      <c r="S94" s="59">
        <f t="shared" si="74"/>
        <v>0.2135</v>
      </c>
      <c r="T94" s="60">
        <v>0</v>
      </c>
      <c r="U94" s="60">
        <v>0</v>
      </c>
      <c r="V94" s="61">
        <f t="shared" si="108"/>
        <v>8.5399999999999991</v>
      </c>
      <c r="W94" s="62">
        <f>IF(RL&gt;0,IF(RL&gt;'Look Ups'!R$7,'Look Ups'!R$8,('Look Ups'!R$3*RL^3+'Look Ups'!R$4*RL^2+'Look Ups'!R$5*RL+'Look Ups'!R$6)),0)</f>
        <v>0.295479343512</v>
      </c>
      <c r="X94" s="63">
        <v>597</v>
      </c>
      <c r="Y94" s="64"/>
      <c r="Z94" s="431"/>
      <c r="AA94" s="431"/>
      <c r="AB94" s="65">
        <f t="shared" si="78"/>
        <v>597</v>
      </c>
      <c r="AC94" s="66">
        <f t="shared" si="79"/>
        <v>597</v>
      </c>
      <c r="AD94" s="67" t="s">
        <v>129</v>
      </c>
      <c r="AE94" s="68" t="s">
        <v>130</v>
      </c>
      <c r="AF94" s="69" t="s">
        <v>131</v>
      </c>
      <c r="AG94" s="70">
        <f>IF(C94="",0,VLOOKUP(AD94,'Look Ups'!$B$3:$C$6,2,0)*VLOOKUP(AE94,'Look Ups'!$E$3:$F$5,2,0)*VLOOKUP(AF94,'Look Ups'!$H$3:$I$7,2,0))</f>
        <v>1</v>
      </c>
      <c r="AH94" s="71">
        <v>13.37</v>
      </c>
      <c r="AI94" s="60">
        <v>13.09</v>
      </c>
      <c r="AJ94" s="60">
        <v>3.86</v>
      </c>
      <c r="AK94" s="60">
        <v>1.42</v>
      </c>
      <c r="AL94" s="60">
        <v>0.24</v>
      </c>
      <c r="AM94" s="60">
        <v>13.22</v>
      </c>
      <c r="AN94" s="60">
        <v>0.17</v>
      </c>
      <c r="AO94" s="60">
        <v>3.92</v>
      </c>
      <c r="AP94" s="60">
        <v>0</v>
      </c>
      <c r="AQ94" s="60">
        <v>0.51500000000000001</v>
      </c>
      <c r="AR94" s="60" t="s">
        <v>132</v>
      </c>
      <c r="AS94" s="75"/>
      <c r="AT94" s="59">
        <f t="shared" si="80"/>
        <v>13.22</v>
      </c>
      <c r="AU94" s="59">
        <f t="shared" si="81"/>
        <v>2.5531125000000001</v>
      </c>
      <c r="AV94" s="72">
        <f>IF(C94="",0,(0.5*(_ML1*LPM)+0.5*(_ML1*HB)+0.66*(P*PR)+0.66*(_ML2*RDM)+0.66*(E*ER))*VLOOKUP(BATT,'Look Ups'!$N$3:$O$4,2,0))</f>
        <v>38.853539999999995</v>
      </c>
      <c r="AW94" s="73"/>
      <c r="AX94" s="74"/>
      <c r="AY94" s="71">
        <v>11.06</v>
      </c>
      <c r="AZ94" s="60">
        <v>2.73</v>
      </c>
      <c r="BA94" s="60">
        <v>2.84</v>
      </c>
      <c r="BB94" s="60">
        <v>0.13</v>
      </c>
      <c r="BC94" s="60">
        <v>10.52</v>
      </c>
      <c r="BD94" s="60">
        <v>10.42</v>
      </c>
      <c r="BE94" s="60">
        <v>0.2</v>
      </c>
      <c r="BF94" s="60">
        <v>0</v>
      </c>
      <c r="BG94" s="60">
        <v>0</v>
      </c>
      <c r="BH94" s="75" t="s">
        <v>165</v>
      </c>
      <c r="BI94" s="72">
        <f t="shared" si="82"/>
        <v>16.392572000000001</v>
      </c>
      <c r="BJ94" s="76"/>
      <c r="BK94" s="77"/>
      <c r="BL94" s="78"/>
      <c r="BM94" s="78"/>
      <c r="BN94" s="77"/>
      <c r="BO94" s="78"/>
      <c r="BP94" s="78"/>
      <c r="BQ94" s="79">
        <f t="shared" si="109"/>
        <v>0</v>
      </c>
      <c r="BR94" s="80"/>
      <c r="BS94" s="77"/>
      <c r="BT94" s="77"/>
      <c r="BU94" s="77"/>
      <c r="BV94" s="77"/>
      <c r="BW94" s="77"/>
      <c r="BX94" s="77"/>
      <c r="BY94" s="72">
        <f t="shared" si="110"/>
        <v>0</v>
      </c>
      <c r="BZ94" s="73"/>
      <c r="CA94" s="60"/>
      <c r="CB94" s="60"/>
      <c r="CC94" s="60"/>
      <c r="CD94" s="65" t="str">
        <f t="shared" si="83"/>
        <v/>
      </c>
      <c r="CE94" s="60"/>
      <c r="CF94" s="79">
        <f t="shared" si="102"/>
        <v>0</v>
      </c>
      <c r="CG94" s="71">
        <v>5.81</v>
      </c>
      <c r="CH94" s="60">
        <v>12.96</v>
      </c>
      <c r="CI94" s="60">
        <v>11.73</v>
      </c>
      <c r="CJ94" s="60">
        <v>2.95</v>
      </c>
      <c r="CK94" s="59">
        <f t="shared" si="84"/>
        <v>50.774526678141143</v>
      </c>
      <c r="CL94" s="60"/>
      <c r="CM94" s="72">
        <f t="shared" si="85"/>
        <v>36.232575000000004</v>
      </c>
      <c r="CN94" s="81">
        <f t="shared" si="86"/>
        <v>1</v>
      </c>
      <c r="CO94" s="59">
        <f t="shared" si="87"/>
        <v>41.406652499999993</v>
      </c>
      <c r="CP94" s="59">
        <f t="shared" si="88"/>
        <v>1</v>
      </c>
      <c r="CQ94" s="59">
        <f t="shared" si="89"/>
        <v>16.392572000000001</v>
      </c>
      <c r="CR94" s="59">
        <f>IF(AV94&gt;0,'Look Ups'!$L$3,0)</f>
        <v>1</v>
      </c>
      <c r="CS94" s="59">
        <f t="shared" si="103"/>
        <v>0</v>
      </c>
      <c r="CT94" s="59">
        <f t="shared" si="104"/>
        <v>0</v>
      </c>
      <c r="CU94" s="59">
        <f t="shared" si="105"/>
        <v>0</v>
      </c>
      <c r="CV94" s="79">
        <f t="shared" si="106"/>
        <v>0</v>
      </c>
      <c r="CW94" s="82" t="str">
        <f t="shared" si="90"/>
        <v>valid</v>
      </c>
      <c r="CX94" s="65" t="str">
        <f t="shared" si="91"/>
        <v>-</v>
      </c>
      <c r="CY94" s="66" t="str">
        <f t="shared" si="92"/>
        <v>MGScr</v>
      </c>
      <c r="CZ94" s="81">
        <f t="shared" si="93"/>
        <v>57.799224499999994</v>
      </c>
      <c r="DA94" s="59">
        <f t="shared" si="94"/>
        <v>0</v>
      </c>
      <c r="DB94" s="59">
        <f t="shared" si="95"/>
        <v>6.9440010500000007</v>
      </c>
      <c r="DC94" s="59">
        <f t="shared" si="96"/>
        <v>0</v>
      </c>
      <c r="DD94" s="59">
        <f t="shared" si="97"/>
        <v>1.0912001650000003</v>
      </c>
      <c r="DE94" s="79">
        <f t="shared" si="98"/>
        <v>60.50074519399999</v>
      </c>
      <c r="DF94" s="83">
        <f t="shared" si="99"/>
        <v>64.743225549999991</v>
      </c>
      <c r="DG94" s="412"/>
    </row>
    <row r="95" spans="1:255" ht="16.5" customHeight="1" x14ac:dyDescent="0.3">
      <c r="B95" s="416"/>
      <c r="C95" s="419" t="s">
        <v>1050</v>
      </c>
      <c r="D95" s="325" t="s">
        <v>967</v>
      </c>
      <c r="E95" s="264" t="s">
        <v>968</v>
      </c>
      <c r="F95" s="415">
        <f t="shared" si="75"/>
        <v>0.83461176337767284</v>
      </c>
      <c r="G95" s="415" t="str">
        <f t="shared" ca="1" si="76"/>
        <v>Yes</v>
      </c>
      <c r="H95" s="51" t="str">
        <f t="shared" si="77"/>
        <v>Main - Genoa - Screacher - Spinnaker</v>
      </c>
      <c r="I95" s="265">
        <v>43490</v>
      </c>
      <c r="J95" s="265">
        <v>44251</v>
      </c>
      <c r="K95" s="266" t="s">
        <v>136</v>
      </c>
      <c r="L95" s="266" t="s">
        <v>614</v>
      </c>
      <c r="M95" s="267"/>
      <c r="N95" s="268" t="s">
        <v>149</v>
      </c>
      <c r="O95" s="268"/>
      <c r="P95" s="269"/>
      <c r="Q95" s="270">
        <v>14.2</v>
      </c>
      <c r="R95" s="271"/>
      <c r="S95" s="59">
        <f t="shared" si="74"/>
        <v>0.35499999999999998</v>
      </c>
      <c r="T95" s="272"/>
      <c r="U95" s="272">
        <v>0</v>
      </c>
      <c r="V95" s="61">
        <f t="shared" si="108"/>
        <v>14.2</v>
      </c>
      <c r="W95" s="62">
        <f>IF(RL&gt;0,IF(RL&gt;'Look Ups'!R$7,'Look Ups'!R$8,('Look Ups'!R$3*RL^3+'Look Ups'!R$4*RL^2+'Look Ups'!R$5*RL+'Look Ups'!R$6)),0)</f>
        <v>0.3</v>
      </c>
      <c r="X95" s="273">
        <v>5687</v>
      </c>
      <c r="Y95" s="274"/>
      <c r="Z95" s="64">
        <v>514</v>
      </c>
      <c r="AA95" s="369"/>
      <c r="AB95" s="65">
        <f t="shared" si="78"/>
        <v>5687</v>
      </c>
      <c r="AC95" s="66">
        <f t="shared" si="79"/>
        <v>6201</v>
      </c>
      <c r="AD95" s="275" t="s">
        <v>129</v>
      </c>
      <c r="AE95" s="276" t="s">
        <v>130</v>
      </c>
      <c r="AF95" s="277" t="s">
        <v>131</v>
      </c>
      <c r="AG95" s="70">
        <f>IF(C95="",0,VLOOKUP(AD95,'Look Ups'!$B$3:$C$6,2,0)*VLOOKUP(AE95,'Look Ups'!$E$3:$F$5,2,0)*VLOOKUP(AF95,'Look Ups'!$H$3:$I$7,2,0))</f>
        <v>1</v>
      </c>
      <c r="AH95" s="278">
        <v>14.96</v>
      </c>
      <c r="AI95" s="272">
        <v>14.32</v>
      </c>
      <c r="AJ95" s="272">
        <v>5.82</v>
      </c>
      <c r="AK95" s="272">
        <v>1.73</v>
      </c>
      <c r="AL95" s="272">
        <v>0.4</v>
      </c>
      <c r="AM95" s="272">
        <v>14.76</v>
      </c>
      <c r="AN95" s="272">
        <v>0.17499999999999999</v>
      </c>
      <c r="AO95" s="272">
        <v>5.98</v>
      </c>
      <c r="AP95" s="272">
        <v>0.05</v>
      </c>
      <c r="AQ95" s="272"/>
      <c r="AR95" s="272" t="s">
        <v>132</v>
      </c>
      <c r="AS95" s="281">
        <v>0</v>
      </c>
      <c r="AT95" s="59">
        <f t="shared" si="80"/>
        <v>14.81</v>
      </c>
      <c r="AU95" s="59">
        <f t="shared" si="81"/>
        <v>0</v>
      </c>
      <c r="AV95" s="72">
        <f>IF(C95="",0,(0.5*(_ML1*LPM)+0.5*(_ML1*HB)+0.66*(P*PR)+0.66*(_ML2*RDM)+0.66*(E*ER))*VLOOKUP(BATT,'Look Ups'!$N$3:$O$4,2,0))</f>
        <v>62.156599999999997</v>
      </c>
      <c r="AW95" s="279"/>
      <c r="AX95" s="280"/>
      <c r="AY95" s="278">
        <v>14.44</v>
      </c>
      <c r="AZ95" s="272">
        <v>3.75</v>
      </c>
      <c r="BA95" s="272">
        <v>4.25</v>
      </c>
      <c r="BB95" s="272">
        <v>0.11</v>
      </c>
      <c r="BC95" s="272">
        <v>12.9</v>
      </c>
      <c r="BD95" s="272"/>
      <c r="BE95" s="272"/>
      <c r="BF95" s="272">
        <v>0.17</v>
      </c>
      <c r="BG95" s="272">
        <v>-7.0000000000000007E-2</v>
      </c>
      <c r="BH95" s="281">
        <v>0</v>
      </c>
      <c r="BI95" s="72">
        <f t="shared" si="82"/>
        <v>28.163801999999997</v>
      </c>
      <c r="BJ95" s="76"/>
      <c r="BK95" s="77"/>
      <c r="BL95" s="78"/>
      <c r="BM95" s="78"/>
      <c r="BN95" s="77"/>
      <c r="BO95" s="78"/>
      <c r="BP95" s="78"/>
      <c r="BQ95" s="79">
        <f t="shared" si="109"/>
        <v>0</v>
      </c>
      <c r="BR95" s="285"/>
      <c r="BS95" s="283"/>
      <c r="BT95" s="283"/>
      <c r="BU95" s="283"/>
      <c r="BV95" s="283"/>
      <c r="BW95" s="283"/>
      <c r="BX95" s="283"/>
      <c r="BY95" s="72">
        <f t="shared" si="110"/>
        <v>0</v>
      </c>
      <c r="BZ95" s="279">
        <v>10.94</v>
      </c>
      <c r="CA95" s="272">
        <v>16.75</v>
      </c>
      <c r="CB95" s="272">
        <v>14.6</v>
      </c>
      <c r="CC95" s="272">
        <v>10.96</v>
      </c>
      <c r="CD95" s="65">
        <f t="shared" si="83"/>
        <v>100.18281535648997</v>
      </c>
      <c r="CE95" s="60">
        <v>0</v>
      </c>
      <c r="CF95" s="79">
        <f t="shared" si="102"/>
        <v>143.11275000000001</v>
      </c>
      <c r="CG95" s="278">
        <v>7.69</v>
      </c>
      <c r="CH95" s="272">
        <v>15.8</v>
      </c>
      <c r="CI95" s="272">
        <v>13.62</v>
      </c>
      <c r="CJ95" s="272">
        <v>3.85</v>
      </c>
      <c r="CK95" s="59">
        <f t="shared" si="84"/>
        <v>50.065019505851751</v>
      </c>
      <c r="CL95" s="60">
        <v>0</v>
      </c>
      <c r="CM95" s="72">
        <f t="shared" si="85"/>
        <v>56.608983333333342</v>
      </c>
      <c r="CN95" s="81">
        <f t="shared" si="86"/>
        <v>1</v>
      </c>
      <c r="CO95" s="59">
        <f t="shared" si="87"/>
        <v>62.156599999999997</v>
      </c>
      <c r="CP95" s="59">
        <f t="shared" si="88"/>
        <v>1</v>
      </c>
      <c r="CQ95" s="59">
        <f t="shared" si="89"/>
        <v>28.163801999999997</v>
      </c>
      <c r="CR95" s="59">
        <f>IF(AV95&gt;0,'Look Ups'!$L$3,0)</f>
        <v>1</v>
      </c>
      <c r="CS95" s="59">
        <f t="shared" si="103"/>
        <v>0</v>
      </c>
      <c r="CT95" s="59">
        <f t="shared" si="104"/>
        <v>0</v>
      </c>
      <c r="CU95" s="59">
        <f t="shared" si="105"/>
        <v>0</v>
      </c>
      <c r="CV95" s="79">
        <f t="shared" si="106"/>
        <v>0</v>
      </c>
      <c r="CW95" s="82" t="str">
        <f t="shared" si="90"/>
        <v>valid</v>
      </c>
      <c r="CX95" s="65" t="str">
        <f t="shared" si="91"/>
        <v>valid</v>
      </c>
      <c r="CY95" s="66" t="str">
        <f t="shared" si="92"/>
        <v>MGScrSp</v>
      </c>
      <c r="CZ95" s="81">
        <f t="shared" si="93"/>
        <v>90.320402000000001</v>
      </c>
      <c r="DA95" s="59">
        <f t="shared" si="94"/>
        <v>34.484684399999999</v>
      </c>
      <c r="DB95" s="59">
        <f t="shared" si="95"/>
        <v>9.9558134666666707</v>
      </c>
      <c r="DC95" s="59">
        <f t="shared" si="96"/>
        <v>33.909939659999999</v>
      </c>
      <c r="DD95" s="59">
        <f t="shared" si="97"/>
        <v>1.5644849733333339</v>
      </c>
      <c r="DE95" s="79">
        <f t="shared" si="98"/>
        <v>93.991624184000003</v>
      </c>
      <c r="DF95" s="83">
        <f t="shared" si="99"/>
        <v>125.79482663333333</v>
      </c>
      <c r="DG95" s="412"/>
    </row>
    <row r="96" spans="1:255" ht="16.25" customHeight="1" x14ac:dyDescent="0.35">
      <c r="A96" s="1">
        <v>11.14</v>
      </c>
      <c r="B96" s="428"/>
      <c r="C96" s="420" t="s">
        <v>1078</v>
      </c>
      <c r="D96" s="207" t="s">
        <v>999</v>
      </c>
      <c r="E96" s="49" t="s">
        <v>1000</v>
      </c>
      <c r="F96" s="415">
        <f t="shared" si="75"/>
        <v>1.1538113579726641</v>
      </c>
      <c r="G96" s="415" t="str">
        <f t="shared" ca="1" si="76"/>
        <v>Yes</v>
      </c>
      <c r="H96" s="51" t="str">
        <f t="shared" si="77"/>
        <v>Main - Genoa - Spinnaker</v>
      </c>
      <c r="I96" s="52">
        <v>43742</v>
      </c>
      <c r="J96" s="52">
        <v>44917</v>
      </c>
      <c r="K96" s="53" t="s">
        <v>187</v>
      </c>
      <c r="L96" s="53" t="s">
        <v>299</v>
      </c>
      <c r="M96" s="54"/>
      <c r="N96" s="55" t="s">
        <v>149</v>
      </c>
      <c r="O96" s="55"/>
      <c r="P96" s="56"/>
      <c r="Q96" s="57">
        <v>17.149999999999999</v>
      </c>
      <c r="R96" s="58"/>
      <c r="S96" s="59">
        <f t="shared" si="74"/>
        <v>0.42874999999999996</v>
      </c>
      <c r="T96" s="60"/>
      <c r="U96" s="60">
        <v>0</v>
      </c>
      <c r="V96" s="61">
        <f t="shared" si="108"/>
        <v>17.149999999999999</v>
      </c>
      <c r="W96" s="62">
        <f>IF(RL&gt;0,IF(RL&gt;'Look Ups'!R$7,'Look Ups'!R$8,('Look Ups'!R$3*RL^3+'Look Ups'!R$4*RL^2+'Look Ups'!R$5*RL+'Look Ups'!R$6)),0)</f>
        <v>0.3</v>
      </c>
      <c r="X96" s="63">
        <v>6100</v>
      </c>
      <c r="Y96" s="64"/>
      <c r="Z96" s="367"/>
      <c r="AA96" s="367"/>
      <c r="AB96" s="65">
        <f t="shared" si="78"/>
        <v>6100</v>
      </c>
      <c r="AC96" s="66">
        <f t="shared" si="79"/>
        <v>6100</v>
      </c>
      <c r="AD96" s="67" t="s">
        <v>129</v>
      </c>
      <c r="AE96" s="68" t="s">
        <v>130</v>
      </c>
      <c r="AF96" s="69" t="s">
        <v>131</v>
      </c>
      <c r="AG96" s="70">
        <f>IF(C96="",0,VLOOKUP(AD96,'Look Ups'!$B$3:$C$6,2,0)*VLOOKUP(AE96,'Look Ups'!$E$3:$F$5,2,0)*VLOOKUP(AF96,'Look Ups'!$H$3:$I$7,2,0))</f>
        <v>1</v>
      </c>
      <c r="AH96" s="71">
        <v>21.25</v>
      </c>
      <c r="AI96" s="60">
        <v>22.55</v>
      </c>
      <c r="AJ96" s="60">
        <v>6</v>
      </c>
      <c r="AK96" s="60">
        <v>2.59</v>
      </c>
      <c r="AL96" s="60">
        <v>1.38</v>
      </c>
      <c r="AM96" s="60">
        <v>21.25</v>
      </c>
      <c r="AN96" s="60">
        <v>0.12</v>
      </c>
      <c r="AO96" s="60">
        <v>6.6</v>
      </c>
      <c r="AP96" s="60">
        <v>0.15</v>
      </c>
      <c r="AQ96" s="60">
        <v>1.5</v>
      </c>
      <c r="AR96" s="60" t="s">
        <v>132</v>
      </c>
      <c r="AS96" s="75">
        <v>0</v>
      </c>
      <c r="AT96" s="59">
        <f t="shared" si="80"/>
        <v>21.4</v>
      </c>
      <c r="AU96" s="59">
        <f t="shared" si="81"/>
        <v>11.953125</v>
      </c>
      <c r="AV96" s="72">
        <f>IF(C96="",0,(0.5*(_ML1*LPM)+0.5*(_ML1*HB)+0.66*(P*PR)+0.66*(_ML2*RDM)+0.66*(E*ER))*VLOOKUP(BATT,'Look Ups'!$N$3:$O$4,2,0))</f>
        <v>114.14369000000001</v>
      </c>
      <c r="AW96" s="73"/>
      <c r="AX96" s="74"/>
      <c r="AY96" s="71">
        <v>18.7</v>
      </c>
      <c r="AZ96" s="60">
        <v>6.52</v>
      </c>
      <c r="BA96" s="60">
        <v>6.98</v>
      </c>
      <c r="BB96" s="60">
        <v>0.16</v>
      </c>
      <c r="BC96" s="60">
        <v>17.350000000000001</v>
      </c>
      <c r="BD96" s="60"/>
      <c r="BE96" s="60"/>
      <c r="BF96" s="60">
        <v>-0.22</v>
      </c>
      <c r="BG96" s="60">
        <v>0</v>
      </c>
      <c r="BH96" s="75">
        <v>0</v>
      </c>
      <c r="BI96" s="72">
        <f t="shared" si="82"/>
        <v>59.179867999999999</v>
      </c>
      <c r="BJ96" s="76"/>
      <c r="BK96" s="77"/>
      <c r="BL96" s="78"/>
      <c r="BM96" s="78"/>
      <c r="BN96" s="77"/>
      <c r="BO96" s="78"/>
      <c r="BP96" s="78"/>
      <c r="BQ96" s="79">
        <f t="shared" si="109"/>
        <v>0</v>
      </c>
      <c r="BR96" s="80"/>
      <c r="BS96" s="77"/>
      <c r="BT96" s="77"/>
      <c r="BU96" s="77"/>
      <c r="BV96" s="77"/>
      <c r="BW96" s="77"/>
      <c r="BX96" s="77"/>
      <c r="BY96" s="72">
        <f t="shared" si="110"/>
        <v>0</v>
      </c>
      <c r="BZ96" s="73">
        <v>13</v>
      </c>
      <c r="CA96" s="60">
        <v>24.35</v>
      </c>
      <c r="CB96" s="60">
        <v>22.56</v>
      </c>
      <c r="CC96" s="60">
        <v>12.65</v>
      </c>
      <c r="CD96" s="65">
        <f t="shared" si="83"/>
        <v>97.307692307692307</v>
      </c>
      <c r="CE96" s="60">
        <v>0</v>
      </c>
      <c r="CF96" s="79">
        <f t="shared" si="102"/>
        <v>248.62299999999999</v>
      </c>
      <c r="CG96" s="71"/>
      <c r="CH96" s="60"/>
      <c r="CI96" s="60"/>
      <c r="CJ96" s="60"/>
      <c r="CK96" s="59" t="str">
        <f t="shared" si="84"/>
        <v/>
      </c>
      <c r="CL96" s="60">
        <v>0</v>
      </c>
      <c r="CM96" s="72">
        <f t="shared" si="85"/>
        <v>0</v>
      </c>
      <c r="CN96" s="81">
        <f t="shared" si="86"/>
        <v>1</v>
      </c>
      <c r="CO96" s="59">
        <f t="shared" si="87"/>
        <v>126.09681499999999</v>
      </c>
      <c r="CP96" s="59">
        <f t="shared" si="88"/>
        <v>1</v>
      </c>
      <c r="CQ96" s="59">
        <f t="shared" si="89"/>
        <v>59.179867999999999</v>
      </c>
      <c r="CR96" s="59">
        <f>IF(AV96&gt;0,'Look Ups'!$L$3,0)</f>
        <v>1</v>
      </c>
      <c r="CS96" s="59">
        <f t="shared" si="103"/>
        <v>0</v>
      </c>
      <c r="CT96" s="59">
        <f t="shared" si="104"/>
        <v>0</v>
      </c>
      <c r="CU96" s="59">
        <f t="shared" si="105"/>
        <v>0</v>
      </c>
      <c r="CV96" s="79">
        <f t="shared" si="106"/>
        <v>0</v>
      </c>
      <c r="CW96" s="82" t="str">
        <f t="shared" si="90"/>
        <v>-</v>
      </c>
      <c r="CX96" s="65" t="str">
        <f t="shared" si="91"/>
        <v>valid</v>
      </c>
      <c r="CY96" s="66" t="str">
        <f t="shared" si="92"/>
        <v>MGSp</v>
      </c>
      <c r="CZ96" s="81">
        <f t="shared" si="93"/>
        <v>185.27668299999999</v>
      </c>
      <c r="DA96" s="59">
        <f t="shared" si="94"/>
        <v>56.832939599999996</v>
      </c>
      <c r="DB96" s="59">
        <f t="shared" si="95"/>
        <v>0</v>
      </c>
      <c r="DC96" s="59">
        <f t="shared" si="96"/>
        <v>55.885723939999991</v>
      </c>
      <c r="DD96" s="59">
        <f t="shared" si="97"/>
        <v>0</v>
      </c>
      <c r="DE96" s="79">
        <f t="shared" si="98"/>
        <v>192.50371327599998</v>
      </c>
      <c r="DF96" s="83">
        <f t="shared" si="99"/>
        <v>242.10962259999999</v>
      </c>
      <c r="DG96" s="412"/>
    </row>
    <row r="97" spans="1:255" ht="16.5" customHeight="1" x14ac:dyDescent="0.25">
      <c r="B97" s="414"/>
      <c r="C97" s="414" t="s">
        <v>404</v>
      </c>
      <c r="D97" s="207" t="s">
        <v>405</v>
      </c>
      <c r="E97" s="49" t="s">
        <v>406</v>
      </c>
      <c r="F97" s="415">
        <f t="shared" si="75"/>
        <v>0.82210377275211899</v>
      </c>
      <c r="G97" s="415" t="str">
        <f t="shared" ca="1" si="76"/>
        <v>No</v>
      </c>
      <c r="H97" s="51" t="str">
        <f t="shared" si="77"/>
        <v>Main - Genoa - Screacher - Spinnaker</v>
      </c>
      <c r="I97" s="52">
        <v>40799</v>
      </c>
      <c r="J97" s="52">
        <v>44508</v>
      </c>
      <c r="K97" s="53" t="s">
        <v>187</v>
      </c>
      <c r="L97" s="53" t="s">
        <v>299</v>
      </c>
      <c r="M97" s="54"/>
      <c r="N97" s="55" t="s">
        <v>149</v>
      </c>
      <c r="O97" s="55"/>
      <c r="P97" s="56"/>
      <c r="Q97" s="57">
        <v>11</v>
      </c>
      <c r="R97" s="58"/>
      <c r="S97" s="59">
        <f t="shared" si="74"/>
        <v>0.27500000000000002</v>
      </c>
      <c r="T97" s="60">
        <v>0.72</v>
      </c>
      <c r="U97" s="60">
        <v>0</v>
      </c>
      <c r="V97" s="61">
        <f t="shared" si="108"/>
        <v>10.28</v>
      </c>
      <c r="W97" s="62">
        <f>IF(RL&gt;0,IF(RL&gt;'Look Ups'!R$7,'Look Ups'!R$8,('Look Ups'!R$3*RL^3+'Look Ups'!R$4*RL^2+'Look Ups'!R$5*RL+'Look Ups'!R$6)),0)</f>
        <v>0.29886058041600005</v>
      </c>
      <c r="X97" s="63">
        <v>2975</v>
      </c>
      <c r="Y97" s="258"/>
      <c r="Z97" s="178">
        <v>275</v>
      </c>
      <c r="AA97" s="178">
        <v>3</v>
      </c>
      <c r="AB97" s="65">
        <f t="shared" si="78"/>
        <v>2975</v>
      </c>
      <c r="AC97" s="66">
        <f t="shared" si="79"/>
        <v>3262</v>
      </c>
      <c r="AD97" s="67" t="s">
        <v>129</v>
      </c>
      <c r="AE97" s="68" t="s">
        <v>130</v>
      </c>
      <c r="AF97" s="69" t="s">
        <v>131</v>
      </c>
      <c r="AG97" s="70">
        <f>IF(C97="",0,VLOOKUP(AD97,'Look Ups'!$B$3:$C$6,2,0)*VLOOKUP(AE97,'Look Ups'!$E$3:$F$5,2,0)*VLOOKUP(AF97,'Look Ups'!$H$3:$I$7,2,0))</f>
        <v>1</v>
      </c>
      <c r="AH97" s="71">
        <v>13.2</v>
      </c>
      <c r="AI97" s="60">
        <v>12.89</v>
      </c>
      <c r="AJ97" s="60">
        <v>3.87</v>
      </c>
      <c r="AK97" s="60">
        <v>1.5</v>
      </c>
      <c r="AL97" s="60">
        <v>0.72</v>
      </c>
      <c r="AM97" s="60">
        <v>12.57</v>
      </c>
      <c r="AN97" s="60">
        <v>0.13</v>
      </c>
      <c r="AO97" s="60">
        <v>4.09</v>
      </c>
      <c r="AP97" s="60">
        <v>0.11</v>
      </c>
      <c r="AQ97" s="60">
        <v>0.54</v>
      </c>
      <c r="AR97" s="60" t="s">
        <v>132</v>
      </c>
      <c r="AS97" s="75">
        <v>0</v>
      </c>
      <c r="AT97" s="59">
        <f t="shared" si="80"/>
        <v>12.68</v>
      </c>
      <c r="AU97" s="59">
        <f t="shared" si="81"/>
        <v>2.5454250000000003</v>
      </c>
      <c r="AV97" s="72">
        <f>IF(C97="",0,(0.5*(_ML1*LPM)+0.5*(_ML1*HB)+0.66*(P*PR)+0.66*(_ML2*RDM)+0.66*(E*ER))*VLOOKUP(BATT,'Look Ups'!$N$3:$O$4,2,0))</f>
        <v>42.942767999999994</v>
      </c>
      <c r="AW97" s="73"/>
      <c r="AX97" s="74"/>
      <c r="AY97" s="71">
        <v>11.66</v>
      </c>
      <c r="AZ97" s="60">
        <v>4.67</v>
      </c>
      <c r="BA97" s="60">
        <v>5.09</v>
      </c>
      <c r="BB97" s="60">
        <v>0.08</v>
      </c>
      <c r="BC97" s="60">
        <v>10.67</v>
      </c>
      <c r="BD97" s="60"/>
      <c r="BE97" s="60"/>
      <c r="BF97" s="60">
        <v>-0.16</v>
      </c>
      <c r="BG97" s="60">
        <v>0</v>
      </c>
      <c r="BH97" s="75">
        <v>0</v>
      </c>
      <c r="BI97" s="72">
        <f t="shared" si="82"/>
        <v>26.368099999999998</v>
      </c>
      <c r="BJ97" s="76"/>
      <c r="BK97" s="77"/>
      <c r="BL97" s="78"/>
      <c r="BM97" s="78"/>
      <c r="BN97" s="77"/>
      <c r="BO97" s="78"/>
      <c r="BP97" s="78"/>
      <c r="BQ97" s="79">
        <f t="shared" si="109"/>
        <v>0</v>
      </c>
      <c r="BR97" s="80"/>
      <c r="BS97" s="77"/>
      <c r="BT97" s="77"/>
      <c r="BU97" s="77"/>
      <c r="BV97" s="77"/>
      <c r="BW97" s="77"/>
      <c r="BX97" s="77"/>
      <c r="BY97" s="72">
        <f t="shared" si="110"/>
        <v>0</v>
      </c>
      <c r="BZ97" s="73">
        <v>8.09</v>
      </c>
      <c r="CA97" s="60">
        <v>15.33</v>
      </c>
      <c r="CB97" s="60">
        <v>12.49</v>
      </c>
      <c r="CC97" s="60">
        <v>7.76</v>
      </c>
      <c r="CD97" s="65">
        <f t="shared" si="83"/>
        <v>95.920889987639057</v>
      </c>
      <c r="CE97" s="60">
        <v>0</v>
      </c>
      <c r="CF97" s="79">
        <f t="shared" si="102"/>
        <v>90.716383333333326</v>
      </c>
      <c r="CG97" s="71">
        <v>8.02</v>
      </c>
      <c r="CH97" s="60">
        <v>13.72</v>
      </c>
      <c r="CI97" s="60">
        <v>10.9</v>
      </c>
      <c r="CJ97" s="60">
        <v>4.21</v>
      </c>
      <c r="CK97" s="59">
        <f t="shared" si="84"/>
        <v>52.493765586034911</v>
      </c>
      <c r="CL97" s="60">
        <v>0</v>
      </c>
      <c r="CM97" s="72">
        <f t="shared" si="85"/>
        <v>51.004433333333338</v>
      </c>
      <c r="CN97" s="81">
        <f t="shared" si="86"/>
        <v>1</v>
      </c>
      <c r="CO97" s="59">
        <f t="shared" si="87"/>
        <v>45.488192999999995</v>
      </c>
      <c r="CP97" s="59">
        <f t="shared" si="88"/>
        <v>1</v>
      </c>
      <c r="CQ97" s="59">
        <f t="shared" si="89"/>
        <v>26.368099999999998</v>
      </c>
      <c r="CR97" s="59">
        <f>IF(AV97&gt;0,'Look Ups'!$L$3,0)</f>
        <v>1</v>
      </c>
      <c r="CS97" s="59">
        <f t="shared" si="103"/>
        <v>0</v>
      </c>
      <c r="CT97" s="59">
        <f t="shared" si="104"/>
        <v>0</v>
      </c>
      <c r="CU97" s="59">
        <f t="shared" si="105"/>
        <v>0</v>
      </c>
      <c r="CV97" s="79">
        <f t="shared" si="106"/>
        <v>0</v>
      </c>
      <c r="CW97" s="82" t="str">
        <f t="shared" si="90"/>
        <v>valid</v>
      </c>
      <c r="CX97" s="65" t="str">
        <f t="shared" si="91"/>
        <v>valid</v>
      </c>
      <c r="CY97" s="66" t="str">
        <f t="shared" si="92"/>
        <v>MGScrSp</v>
      </c>
      <c r="CZ97" s="81">
        <f t="shared" si="93"/>
        <v>71.856292999999994</v>
      </c>
      <c r="DA97" s="59">
        <f t="shared" si="94"/>
        <v>19.304484999999996</v>
      </c>
      <c r="DB97" s="59">
        <f t="shared" si="95"/>
        <v>8.622716666666669</v>
      </c>
      <c r="DC97" s="59">
        <f t="shared" si="96"/>
        <v>18.982743583333331</v>
      </c>
      <c r="DD97" s="59">
        <f t="shared" si="97"/>
        <v>1.3549983333333337</v>
      </c>
      <c r="DE97" s="79">
        <f t="shared" si="98"/>
        <v>73.921263044</v>
      </c>
      <c r="DF97" s="83">
        <f t="shared" si="99"/>
        <v>92.194034916666652</v>
      </c>
      <c r="DG97" s="412"/>
    </row>
    <row r="98" spans="1:255" ht="16.25" customHeight="1" x14ac:dyDescent="0.25">
      <c r="A98" s="1">
        <v>7.69</v>
      </c>
      <c r="B98" s="414"/>
      <c r="C98" s="414" t="s">
        <v>944</v>
      </c>
      <c r="D98" s="84" t="s">
        <v>945</v>
      </c>
      <c r="E98" s="49" t="s">
        <v>946</v>
      </c>
      <c r="F98" s="415">
        <f t="shared" si="75"/>
        <v>0.99088523607566059</v>
      </c>
      <c r="G98" s="415" t="str">
        <f t="shared" ca="1" si="76"/>
        <v>Yes</v>
      </c>
      <c r="H98" s="51" t="str">
        <f t="shared" si="77"/>
        <v>Main - Genoa - Screacher - Spinnaker</v>
      </c>
      <c r="I98" s="52">
        <v>43319</v>
      </c>
      <c r="J98" s="52">
        <v>43319</v>
      </c>
      <c r="K98" s="53" t="s">
        <v>904</v>
      </c>
      <c r="L98" s="53" t="s">
        <v>841</v>
      </c>
      <c r="M98" s="54"/>
      <c r="N98" s="55" t="s">
        <v>127</v>
      </c>
      <c r="O98" s="55"/>
      <c r="P98" s="85"/>
      <c r="Q98" s="57">
        <v>18.11</v>
      </c>
      <c r="R98" s="58"/>
      <c r="S98" s="59">
        <f t="shared" si="74"/>
        <v>0.45274999999999999</v>
      </c>
      <c r="T98" s="60"/>
      <c r="U98" s="60">
        <v>0</v>
      </c>
      <c r="V98" s="61">
        <f t="shared" si="108"/>
        <v>18.11</v>
      </c>
      <c r="W98" s="62">
        <f>IF(RL&gt;0,IF(RL&gt;'Look Ups'!R$7,'Look Ups'!R$8,('Look Ups'!R$3*RL^3+'Look Ups'!R$4*RL^2+'Look Ups'!R$5*RL+'Look Ups'!R$6)),0)</f>
        <v>0.3</v>
      </c>
      <c r="X98" s="63">
        <v>10087</v>
      </c>
      <c r="Y98" s="64"/>
      <c r="Z98" s="417"/>
      <c r="AA98" s="417"/>
      <c r="AB98" s="65">
        <f t="shared" si="78"/>
        <v>10087</v>
      </c>
      <c r="AC98" s="66">
        <f t="shared" si="79"/>
        <v>10087</v>
      </c>
      <c r="AD98" s="67" t="s">
        <v>129</v>
      </c>
      <c r="AE98" s="68" t="s">
        <v>130</v>
      </c>
      <c r="AF98" s="69" t="s">
        <v>300</v>
      </c>
      <c r="AG98" s="70">
        <f>IF(C98="",0,VLOOKUP(AD98,'Look Ups'!$B$3:$C$6,2,0)*VLOOKUP(AE98,'Look Ups'!$E$3:$F$5,2,0)*VLOOKUP(AF98,'Look Ups'!$H$3:$I$7,2,0))</f>
        <v>0.995</v>
      </c>
      <c r="AH98" s="71">
        <v>22.58</v>
      </c>
      <c r="AI98" s="60">
        <v>21.9</v>
      </c>
      <c r="AJ98" s="60">
        <v>7.25</v>
      </c>
      <c r="AK98" s="60">
        <v>2.02</v>
      </c>
      <c r="AL98" s="60">
        <v>0.62</v>
      </c>
      <c r="AM98" s="60">
        <v>22.26</v>
      </c>
      <c r="AN98" s="60">
        <v>0.18</v>
      </c>
      <c r="AO98" s="60">
        <v>7.44</v>
      </c>
      <c r="AP98" s="60">
        <v>0.08</v>
      </c>
      <c r="AQ98" s="60">
        <v>1.2</v>
      </c>
      <c r="AR98" s="60" t="s">
        <v>132</v>
      </c>
      <c r="AS98" s="75">
        <v>0</v>
      </c>
      <c r="AT98" s="59">
        <f t="shared" si="80"/>
        <v>22.34</v>
      </c>
      <c r="AU98" s="59">
        <f t="shared" si="81"/>
        <v>10.016999999999999</v>
      </c>
      <c r="AV98" s="72">
        <f>IF(C98="",0,(0.5*(_ML1*LPM)+0.5*(_ML1*HB)+0.66*(P*PR)+0.66*(_ML2*RDM)+0.66*(E*ER))*VLOOKUP(BATT,'Look Ups'!$N$3:$O$4,2,0))</f>
        <v>116.65709999999999</v>
      </c>
      <c r="AW98" s="73"/>
      <c r="AX98" s="74"/>
      <c r="AY98" s="71">
        <v>21.87</v>
      </c>
      <c r="AZ98" s="60">
        <v>6.36</v>
      </c>
      <c r="BA98" s="60">
        <v>7</v>
      </c>
      <c r="BB98" s="60">
        <v>0.22</v>
      </c>
      <c r="BC98" s="60">
        <v>19.760000000000002</v>
      </c>
      <c r="BD98" s="60"/>
      <c r="BE98" s="60"/>
      <c r="BF98" s="60"/>
      <c r="BG98" s="60"/>
      <c r="BH98" s="75">
        <v>0</v>
      </c>
      <c r="BI98" s="72">
        <f t="shared" si="82"/>
        <v>70.563000000000017</v>
      </c>
      <c r="BJ98" s="76"/>
      <c r="BK98" s="77"/>
      <c r="BL98" s="78"/>
      <c r="BM98" s="78"/>
      <c r="BN98" s="77"/>
      <c r="BO98" s="78"/>
      <c r="BP98" s="78"/>
      <c r="BQ98" s="79">
        <f t="shared" si="109"/>
        <v>0</v>
      </c>
      <c r="BR98" s="80"/>
      <c r="BS98" s="77"/>
      <c r="BT98" s="77"/>
      <c r="BU98" s="77"/>
      <c r="BV98" s="77"/>
      <c r="BW98" s="77"/>
      <c r="BX98" s="77"/>
      <c r="BY98" s="72">
        <f t="shared" si="110"/>
        <v>0</v>
      </c>
      <c r="BZ98" s="73">
        <v>12.27</v>
      </c>
      <c r="CA98" s="60">
        <v>25.2</v>
      </c>
      <c r="CB98" s="60">
        <v>23.69</v>
      </c>
      <c r="CC98" s="60">
        <v>9.83</v>
      </c>
      <c r="CD98" s="65">
        <f t="shared" si="83"/>
        <v>80.114099429502858</v>
      </c>
      <c r="CE98" s="75">
        <v>0</v>
      </c>
      <c r="CF98" s="79">
        <f t="shared" si="102"/>
        <v>210.18625833333334</v>
      </c>
      <c r="CG98" s="71">
        <v>11.62</v>
      </c>
      <c r="CH98" s="60">
        <v>23.99</v>
      </c>
      <c r="CI98" s="60">
        <v>21.49</v>
      </c>
      <c r="CJ98" s="60">
        <v>6.1</v>
      </c>
      <c r="CK98" s="59">
        <f t="shared" si="84"/>
        <v>52.49569707401033</v>
      </c>
      <c r="CL98" s="75">
        <v>0</v>
      </c>
      <c r="CM98" s="72">
        <f t="shared" si="85"/>
        <v>136.51579999999998</v>
      </c>
      <c r="CN98" s="81">
        <f t="shared" si="86"/>
        <v>1</v>
      </c>
      <c r="CO98" s="59">
        <f t="shared" si="87"/>
        <v>126.67409999999998</v>
      </c>
      <c r="CP98" s="59">
        <f t="shared" si="88"/>
        <v>1</v>
      </c>
      <c r="CQ98" s="59">
        <f t="shared" si="89"/>
        <v>70.563000000000017</v>
      </c>
      <c r="CR98" s="59">
        <f>IF(AV98&gt;0,'Look Ups'!$L$3,0)</f>
        <v>1</v>
      </c>
      <c r="CS98" s="59">
        <f t="shared" si="103"/>
        <v>0</v>
      </c>
      <c r="CT98" s="59">
        <f t="shared" si="104"/>
        <v>0</v>
      </c>
      <c r="CU98" s="59">
        <f t="shared" si="105"/>
        <v>0</v>
      </c>
      <c r="CV98" s="79">
        <f t="shared" si="106"/>
        <v>0</v>
      </c>
      <c r="CW98" s="82" t="str">
        <f t="shared" si="90"/>
        <v>valid</v>
      </c>
      <c r="CX98" s="65" t="str">
        <f t="shared" si="91"/>
        <v>valid</v>
      </c>
      <c r="CY98" s="66" t="str">
        <f t="shared" si="92"/>
        <v>MGScrSp</v>
      </c>
      <c r="CZ98" s="81">
        <f t="shared" si="93"/>
        <v>197.2371</v>
      </c>
      <c r="DA98" s="59">
        <f t="shared" si="94"/>
        <v>41.886977499999993</v>
      </c>
      <c r="DB98" s="59">
        <f t="shared" si="95"/>
        <v>23.083479999999987</v>
      </c>
      <c r="DC98" s="59">
        <f t="shared" si="96"/>
        <v>41.188861208333329</v>
      </c>
      <c r="DD98" s="59">
        <f t="shared" si="97"/>
        <v>3.6274039999999981</v>
      </c>
      <c r="DE98" s="79">
        <f t="shared" si="98"/>
        <v>203.29709879999999</v>
      </c>
      <c r="DF98" s="83">
        <f t="shared" si="99"/>
        <v>242.0533652083333</v>
      </c>
      <c r="DG98" s="287"/>
    </row>
    <row r="99" spans="1:255" ht="16.5" customHeight="1" x14ac:dyDescent="0.25">
      <c r="B99" s="416"/>
      <c r="C99" s="418" t="s">
        <v>1102</v>
      </c>
      <c r="D99" s="169" t="s">
        <v>816</v>
      </c>
      <c r="E99" s="170" t="s">
        <v>1103</v>
      </c>
      <c r="F99" s="415">
        <f t="shared" si="75"/>
        <v>0.95364756336742107</v>
      </c>
      <c r="G99" s="415" t="str">
        <f t="shared" ca="1" si="76"/>
        <v>Yes</v>
      </c>
      <c r="H99" s="51" t="str">
        <f t="shared" si="77"/>
        <v>Main - Genoa - Screacher - Spinnaker</v>
      </c>
      <c r="I99" s="171">
        <v>44782</v>
      </c>
      <c r="J99" s="171">
        <v>44784</v>
      </c>
      <c r="K99" s="172" t="s">
        <v>1097</v>
      </c>
      <c r="L99" s="172" t="s">
        <v>614</v>
      </c>
      <c r="M99" s="171"/>
      <c r="N99" s="173" t="s">
        <v>149</v>
      </c>
      <c r="O99" s="173"/>
      <c r="P99" s="174">
        <v>7.2</v>
      </c>
      <c r="Q99" s="175">
        <v>12.58</v>
      </c>
      <c r="R99" s="78"/>
      <c r="S99" s="59">
        <f t="shared" si="74"/>
        <v>0.3145</v>
      </c>
      <c r="T99" s="176">
        <v>0.27</v>
      </c>
      <c r="U99" s="176">
        <v>0</v>
      </c>
      <c r="V99" s="61">
        <f t="shared" si="108"/>
        <v>12.31</v>
      </c>
      <c r="W99" s="62">
        <f>IF(RL&gt;0,IF(RL&gt;'Look Ups'!R$7,'Look Ups'!R$8,('Look Ups'!R$3*RL^3+'Look Ups'!R$4*RL^2+'Look Ups'!R$5*RL+'Look Ups'!R$6)),0)</f>
        <v>0.3</v>
      </c>
      <c r="X99" s="177">
        <v>3010</v>
      </c>
      <c r="Y99" s="178"/>
      <c r="Z99" s="178"/>
      <c r="AA99" s="178"/>
      <c r="AB99" s="65">
        <f t="shared" si="78"/>
        <v>3010</v>
      </c>
      <c r="AC99" s="66">
        <f t="shared" si="79"/>
        <v>3010</v>
      </c>
      <c r="AD99" s="179" t="s">
        <v>129</v>
      </c>
      <c r="AE99" s="180" t="s">
        <v>130</v>
      </c>
      <c r="AF99" s="181" t="s">
        <v>131</v>
      </c>
      <c r="AG99" s="70">
        <f>IF(C99="",0,VLOOKUP(AD99,'Look Ups'!$B$3:$C$6,2,0)*VLOOKUP(AE99,'Look Ups'!$E$3:$F$5,2,0)*VLOOKUP(AF99,'Look Ups'!$H$3:$I$7,2,0))</f>
        <v>1</v>
      </c>
      <c r="AH99" s="80">
        <v>14.2</v>
      </c>
      <c r="AI99" s="77">
        <v>13.72</v>
      </c>
      <c r="AJ99" s="77">
        <v>4.99</v>
      </c>
      <c r="AK99" s="77">
        <v>1.39</v>
      </c>
      <c r="AL99" s="77">
        <v>0.31</v>
      </c>
      <c r="AM99" s="77">
        <v>14.2</v>
      </c>
      <c r="AN99" s="77">
        <v>0.13</v>
      </c>
      <c r="AO99" s="77">
        <v>5.1100000000000003</v>
      </c>
      <c r="AP99" s="77">
        <v>0.06</v>
      </c>
      <c r="AQ99" s="77">
        <v>0.6</v>
      </c>
      <c r="AR99" s="77" t="s">
        <v>132</v>
      </c>
      <c r="AS99" s="87">
        <v>0</v>
      </c>
      <c r="AT99" s="59">
        <f t="shared" si="80"/>
        <v>14.26</v>
      </c>
      <c r="AU99" s="59">
        <f t="shared" si="81"/>
        <v>3.1949999999999994</v>
      </c>
      <c r="AV99" s="72">
        <f>IF(C99="",0,(0.5*(_ML1*LPM)+0.5*(_ML1*HB)+0.66*(P*PR)+0.66*(_ML2*RDM)+0.66*(E*ER))*VLOOKUP(BATT,'Look Ups'!$N$3:$O$4,2,0))</f>
        <v>49.525828000000004</v>
      </c>
      <c r="AW99" s="182"/>
      <c r="AX99" s="183"/>
      <c r="AY99" s="80">
        <v>12.94</v>
      </c>
      <c r="AZ99" s="77">
        <v>3.71</v>
      </c>
      <c r="BA99" s="77">
        <v>3.98</v>
      </c>
      <c r="BB99" s="77">
        <v>0.19</v>
      </c>
      <c r="BC99" s="77">
        <v>11.85</v>
      </c>
      <c r="BD99" s="77"/>
      <c r="BE99" s="77"/>
      <c r="BF99" s="77">
        <v>-0.12</v>
      </c>
      <c r="BG99" s="77">
        <v>0.13</v>
      </c>
      <c r="BH99" s="87"/>
      <c r="BI99" s="72">
        <f t="shared" si="82"/>
        <v>24.674523999999998</v>
      </c>
      <c r="BJ99" s="76"/>
      <c r="BK99" s="77"/>
      <c r="BL99" s="78"/>
      <c r="BM99" s="78"/>
      <c r="BN99" s="77"/>
      <c r="BO99" s="78"/>
      <c r="BP99" s="78"/>
      <c r="BQ99" s="79">
        <f t="shared" si="109"/>
        <v>0</v>
      </c>
      <c r="BR99" s="80"/>
      <c r="BS99" s="77"/>
      <c r="BT99" s="77"/>
      <c r="BU99" s="77"/>
      <c r="BV99" s="77"/>
      <c r="BW99" s="77"/>
      <c r="BX99" s="77"/>
      <c r="BY99" s="72">
        <f t="shared" si="110"/>
        <v>0</v>
      </c>
      <c r="BZ99" s="182">
        <v>8.8800000000000008</v>
      </c>
      <c r="CA99" s="77">
        <v>17.02</v>
      </c>
      <c r="CB99" s="77">
        <v>13.88</v>
      </c>
      <c r="CC99" s="77">
        <v>9.82</v>
      </c>
      <c r="CD99" s="65">
        <f t="shared" si="83"/>
        <v>110.58558558558558</v>
      </c>
      <c r="CE99" s="77">
        <v>0</v>
      </c>
      <c r="CF99" s="79">
        <f t="shared" si="102"/>
        <v>124.012</v>
      </c>
      <c r="CG99" s="80">
        <v>8</v>
      </c>
      <c r="CH99" s="77">
        <v>14.45</v>
      </c>
      <c r="CI99" s="77">
        <v>12.5</v>
      </c>
      <c r="CJ99" s="77">
        <v>4.63</v>
      </c>
      <c r="CK99" s="59">
        <f t="shared" si="84"/>
        <v>57.875</v>
      </c>
      <c r="CL99" s="77">
        <v>0</v>
      </c>
      <c r="CM99" s="72">
        <f t="shared" si="85"/>
        <v>59.5595</v>
      </c>
      <c r="CN99" s="81">
        <f t="shared" si="86"/>
        <v>1</v>
      </c>
      <c r="CO99" s="59">
        <f t="shared" si="87"/>
        <v>52.720827999999997</v>
      </c>
      <c r="CP99" s="59">
        <f t="shared" si="88"/>
        <v>1</v>
      </c>
      <c r="CQ99" s="59">
        <f t="shared" si="89"/>
        <v>24.674523999999998</v>
      </c>
      <c r="CR99" s="59">
        <f>IF(AV99&gt;0,'Look Ups'!$L$3,0)</f>
        <v>1</v>
      </c>
      <c r="CS99" s="59">
        <f t="shared" si="103"/>
        <v>0</v>
      </c>
      <c r="CT99" s="59">
        <f t="shared" si="104"/>
        <v>0</v>
      </c>
      <c r="CU99" s="59">
        <f t="shared" si="105"/>
        <v>0</v>
      </c>
      <c r="CV99" s="79">
        <f t="shared" si="106"/>
        <v>0</v>
      </c>
      <c r="CW99" s="82" t="str">
        <f t="shared" si="90"/>
        <v>valid</v>
      </c>
      <c r="CX99" s="65" t="str">
        <f t="shared" si="91"/>
        <v>valid</v>
      </c>
      <c r="CY99" s="66" t="str">
        <f t="shared" si="92"/>
        <v>MGScrSp</v>
      </c>
      <c r="CZ99" s="81">
        <f t="shared" si="93"/>
        <v>77.395352000000003</v>
      </c>
      <c r="DA99" s="59">
        <f t="shared" si="94"/>
        <v>29.801242800000001</v>
      </c>
      <c r="DB99" s="59">
        <f t="shared" si="95"/>
        <v>12.209741599999999</v>
      </c>
      <c r="DC99" s="59">
        <f t="shared" si="96"/>
        <v>29.30455542</v>
      </c>
      <c r="DD99" s="59">
        <f t="shared" si="97"/>
        <v>1.9186736800000002</v>
      </c>
      <c r="DE99" s="79">
        <f t="shared" si="98"/>
        <v>80.424352831999997</v>
      </c>
      <c r="DF99" s="83">
        <f t="shared" si="99"/>
        <v>108.6185811</v>
      </c>
      <c r="DG99" s="412"/>
    </row>
    <row r="100" spans="1:255" ht="16.5" customHeight="1" x14ac:dyDescent="0.25">
      <c r="B100" s="414"/>
      <c r="C100" s="414" t="s">
        <v>1100</v>
      </c>
      <c r="D100" s="84" t="s">
        <v>259</v>
      </c>
      <c r="E100" s="49" t="s">
        <v>1101</v>
      </c>
      <c r="F100" s="415">
        <f t="shared" si="75"/>
        <v>0.91770753856334697</v>
      </c>
      <c r="G100" s="415" t="str">
        <f t="shared" ca="1" si="76"/>
        <v>No</v>
      </c>
      <c r="H100" s="51" t="str">
        <f t="shared" si="77"/>
        <v>Main - Genoa - Screacher - Spinnaker</v>
      </c>
      <c r="I100" s="358">
        <v>38420</v>
      </c>
      <c r="J100" s="52">
        <v>44784</v>
      </c>
      <c r="K100" s="53" t="s">
        <v>1097</v>
      </c>
      <c r="L100" s="53" t="s">
        <v>1031</v>
      </c>
      <c r="M100" s="54"/>
      <c r="N100" s="75" t="s">
        <v>149</v>
      </c>
      <c r="O100" s="75"/>
      <c r="P100" s="85"/>
      <c r="Q100" s="57">
        <v>12.96</v>
      </c>
      <c r="R100" s="58"/>
      <c r="S100" s="59">
        <f t="shared" ref="S100:S131" si="111">IF((LOAA&gt;LOA),0.025*LOAA,0.025*LOA)</f>
        <v>0.32400000000000007</v>
      </c>
      <c r="T100" s="60">
        <v>0.30000000000000004</v>
      </c>
      <c r="U100" s="60">
        <v>0</v>
      </c>
      <c r="V100" s="61">
        <f t="shared" si="108"/>
        <v>12.66</v>
      </c>
      <c r="W100" s="62">
        <f>IF(RL&gt;0,IF(RL&gt;'Look Ups'!R$7,'Look Ups'!R$8,('Look Ups'!R$3*RL^3+'Look Ups'!R$4*RL^2+'Look Ups'!R$5*RL+'Look Ups'!R$6)),0)</f>
        <v>0.3</v>
      </c>
      <c r="X100" s="63">
        <f>4485-115</f>
        <v>4370</v>
      </c>
      <c r="Y100" s="64"/>
      <c r="Z100" s="64"/>
      <c r="AA100" s="64"/>
      <c r="AB100" s="65">
        <f t="shared" si="78"/>
        <v>4370</v>
      </c>
      <c r="AC100" s="66">
        <f t="shared" si="79"/>
        <v>4370</v>
      </c>
      <c r="AD100" s="67" t="s">
        <v>129</v>
      </c>
      <c r="AE100" s="68" t="s">
        <v>130</v>
      </c>
      <c r="AF100" s="69" t="s">
        <v>131</v>
      </c>
      <c r="AG100" s="70">
        <f>IF(C100="",0,VLOOKUP(AD100,'Look Ups'!$B$3:$C$6,2,0)*VLOOKUP(AE100,'Look Ups'!$E$3:$F$5,2,0)*VLOOKUP(AF100,'Look Ups'!$H$3:$I$7,2,0))</f>
        <v>1</v>
      </c>
      <c r="AH100" s="71">
        <v>15.5</v>
      </c>
      <c r="AI100" s="60">
        <v>15.04</v>
      </c>
      <c r="AJ100" s="60">
        <v>4.63</v>
      </c>
      <c r="AK100" s="60">
        <v>2.2000000000000002</v>
      </c>
      <c r="AL100" s="60">
        <v>0.4</v>
      </c>
      <c r="AM100" s="60">
        <v>15.29</v>
      </c>
      <c r="AN100" s="60">
        <v>0.34</v>
      </c>
      <c r="AO100" s="60">
        <v>4.7300000000000004</v>
      </c>
      <c r="AP100" s="60">
        <v>0.02</v>
      </c>
      <c r="AQ100" s="60">
        <v>0.7</v>
      </c>
      <c r="AR100" s="60" t="s">
        <v>132</v>
      </c>
      <c r="AS100" s="75" t="s">
        <v>262</v>
      </c>
      <c r="AT100" s="59">
        <f t="shared" si="80"/>
        <v>15.309999999999999</v>
      </c>
      <c r="AU100" s="59">
        <f t="shared" si="81"/>
        <v>4.0136249999999993</v>
      </c>
      <c r="AV100" s="72">
        <f>IF(C100="",0,(0.5*(_ML1*LPM)+0.5*(_ML1*HB)+0.66*(P*PR)+0.66*(_ML2*RDM)+0.66*(E*ER))*VLOOKUP(BATT,'Look Ups'!$N$3:$O$4,2,0))</f>
        <v>60.396571999999999</v>
      </c>
      <c r="AW100" s="73"/>
      <c r="AX100" s="74"/>
      <c r="AY100" s="71">
        <v>13.83</v>
      </c>
      <c r="AZ100" s="60">
        <v>4.0199999999999996</v>
      </c>
      <c r="BA100" s="60">
        <v>4.47</v>
      </c>
      <c r="BB100" s="60">
        <v>0.16</v>
      </c>
      <c r="BC100" s="60">
        <v>12.5</v>
      </c>
      <c r="BD100" s="60"/>
      <c r="BE100" s="60"/>
      <c r="BF100" s="60">
        <v>0.11</v>
      </c>
      <c r="BG100" s="60">
        <v>-0.01</v>
      </c>
      <c r="BH100" s="75">
        <v>0</v>
      </c>
      <c r="BI100" s="72">
        <f t="shared" si="82"/>
        <v>29.086553999999996</v>
      </c>
      <c r="BJ100" s="76"/>
      <c r="BK100" s="77"/>
      <c r="BL100" s="78"/>
      <c r="BM100" s="78"/>
      <c r="BN100" s="77"/>
      <c r="BO100" s="78"/>
      <c r="BP100" s="78"/>
      <c r="BQ100" s="79">
        <f t="shared" si="109"/>
        <v>0</v>
      </c>
      <c r="BR100" s="80"/>
      <c r="BS100" s="77"/>
      <c r="BT100" s="77"/>
      <c r="BU100" s="77"/>
      <c r="BV100" s="77"/>
      <c r="BW100" s="77"/>
      <c r="BX100" s="77"/>
      <c r="BY100" s="72">
        <f t="shared" si="110"/>
        <v>0</v>
      </c>
      <c r="BZ100" s="73">
        <v>11.45</v>
      </c>
      <c r="CA100" s="60">
        <v>17.89</v>
      </c>
      <c r="CB100" s="60">
        <v>16.53</v>
      </c>
      <c r="CC100" s="60">
        <v>10.199999999999999</v>
      </c>
      <c r="CD100" s="65">
        <f t="shared" si="83"/>
        <v>89.082969432314414</v>
      </c>
      <c r="CE100" s="75">
        <v>0</v>
      </c>
      <c r="CF100" s="79">
        <f t="shared" si="102"/>
        <v>149.87041666666664</v>
      </c>
      <c r="CG100" s="71">
        <v>8.51</v>
      </c>
      <c r="CH100" s="60">
        <v>15.26</v>
      </c>
      <c r="CI100" s="60">
        <v>12.32</v>
      </c>
      <c r="CJ100" s="60">
        <v>4.3499999999999996</v>
      </c>
      <c r="CK100" s="59">
        <f t="shared" si="84"/>
        <v>51.116333725029371</v>
      </c>
      <c r="CL100" s="75">
        <v>0</v>
      </c>
      <c r="CM100" s="72">
        <f t="shared" si="85"/>
        <v>59.549816666666658</v>
      </c>
      <c r="CN100" s="81">
        <f t="shared" si="86"/>
        <v>1</v>
      </c>
      <c r="CO100" s="59">
        <f t="shared" si="87"/>
        <v>64.410196999999997</v>
      </c>
      <c r="CP100" s="59">
        <f t="shared" si="88"/>
        <v>1</v>
      </c>
      <c r="CQ100" s="59">
        <f t="shared" si="89"/>
        <v>29.086553999999996</v>
      </c>
      <c r="CR100" s="59">
        <f>IF(AV100&gt;0,'Look Ups'!$L$3,0)</f>
        <v>1</v>
      </c>
      <c r="CS100" s="59">
        <f t="shared" si="103"/>
        <v>0</v>
      </c>
      <c r="CT100" s="59">
        <f t="shared" si="104"/>
        <v>0</v>
      </c>
      <c r="CU100" s="59">
        <f t="shared" si="105"/>
        <v>0</v>
      </c>
      <c r="CV100" s="79">
        <f t="shared" si="106"/>
        <v>0</v>
      </c>
      <c r="CW100" s="82" t="str">
        <f t="shared" si="90"/>
        <v>valid</v>
      </c>
      <c r="CX100" s="65" t="str">
        <f t="shared" si="91"/>
        <v>valid</v>
      </c>
      <c r="CY100" s="66" t="str">
        <f t="shared" si="92"/>
        <v>MGScrSp</v>
      </c>
      <c r="CZ100" s="81">
        <f t="shared" si="93"/>
        <v>93.496750999999989</v>
      </c>
      <c r="DA100" s="59">
        <f t="shared" si="94"/>
        <v>36.235158799999994</v>
      </c>
      <c r="DB100" s="59">
        <f t="shared" si="95"/>
        <v>10.662141933333331</v>
      </c>
      <c r="DC100" s="59">
        <f t="shared" si="96"/>
        <v>35.631239486666658</v>
      </c>
      <c r="DD100" s="59">
        <f t="shared" si="97"/>
        <v>1.6754794466666665</v>
      </c>
      <c r="DE100" s="79">
        <f t="shared" si="98"/>
        <v>97.311704443999986</v>
      </c>
      <c r="DF100" s="83">
        <f t="shared" si="99"/>
        <v>130.8034699333333</v>
      </c>
      <c r="DG100" s="412"/>
    </row>
    <row r="101" spans="1:255" s="287" customFormat="1" ht="16.5" customHeight="1" x14ac:dyDescent="0.3">
      <c r="B101" s="416"/>
      <c r="C101" s="414" t="s">
        <v>407</v>
      </c>
      <c r="D101" s="84" t="s">
        <v>901</v>
      </c>
      <c r="E101" s="49" t="s">
        <v>408</v>
      </c>
      <c r="F101" s="415">
        <f t="shared" ref="F101:F131" si="112">IF(RW=0,0,DLF*(0.93*RL^LF*RSA^0.4/RW^0.325))</f>
        <v>0.95047571596408542</v>
      </c>
      <c r="G101" s="415" t="str">
        <f t="shared" ref="G101:G131" ca="1" si="113">IF(F101&gt;0,IF(OR(TODAY()-3650&gt;I101,CW101="ERROR",CX101="ERROR"),"No","Yes"),0)</f>
        <v>Yes</v>
      </c>
      <c r="H101" s="51" t="str">
        <f t="shared" ref="H101:H131" si="114">IF(CY101="","",IF(CY101="MG","Main - Genoa",IF(CY101="MGScr","Main - Genoa - Screacher",IF(CY101="MGSp","Main - Genoa - Spinnaker",IF(CY101="MGScrSp","Main - Genoa - Screacher - Spinnaker","Invalid"))))&amp;IF(AS&gt;0," - Staysail ","")&amp;IF(AD&gt;0," - Drifter","")&amp;IF(RSAMZ&gt;0," - Mizzen","")&amp;IF(RSA2M&gt;0," - Bi-Rig",""))</f>
        <v>Main - Genoa - Screacher - Spinnaker</v>
      </c>
      <c r="I101" s="52">
        <v>44266</v>
      </c>
      <c r="J101" s="52">
        <v>44776</v>
      </c>
      <c r="K101" s="53" t="s">
        <v>614</v>
      </c>
      <c r="L101" s="53" t="s">
        <v>614</v>
      </c>
      <c r="M101" s="54"/>
      <c r="N101" s="55" t="s">
        <v>149</v>
      </c>
      <c r="O101" s="55"/>
      <c r="P101" s="85"/>
      <c r="Q101" s="57">
        <v>15.3</v>
      </c>
      <c r="R101" s="58"/>
      <c r="S101" s="59">
        <f t="shared" si="111"/>
        <v>0.38250000000000006</v>
      </c>
      <c r="T101" s="60"/>
      <c r="U101" s="60">
        <v>0</v>
      </c>
      <c r="V101" s="61">
        <f t="shared" si="108"/>
        <v>15.3</v>
      </c>
      <c r="W101" s="62">
        <f>IF(RL&gt;0,IF(RL&gt;'Look Ups'!R$7,'Look Ups'!R$8,('Look Ups'!R$3*RL^3+'Look Ups'!R$4*RL^2+'Look Ups'!R$5*RL+'Look Ups'!R$6)),0)</f>
        <v>0.3</v>
      </c>
      <c r="X101" s="63">
        <v>7039</v>
      </c>
      <c r="Y101" s="64"/>
      <c r="Z101" s="367"/>
      <c r="AA101" s="367"/>
      <c r="AB101" s="65">
        <f t="shared" ref="AB101:AB131" si="115">WM+WE</f>
        <v>7039</v>
      </c>
      <c r="AC101" s="66">
        <f t="shared" ref="AC101:AC131" si="116">WS+WCD+4*NC</f>
        <v>7039</v>
      </c>
      <c r="AD101" s="67" t="s">
        <v>129</v>
      </c>
      <c r="AE101" s="68" t="s">
        <v>130</v>
      </c>
      <c r="AF101" s="69" t="s">
        <v>300</v>
      </c>
      <c r="AG101" s="70">
        <f>IF(C101="",0,VLOOKUP(AD101,'Look Ups'!$B$3:$C$6,2,0)*VLOOKUP(AE101,'Look Ups'!$E$3:$F$5,2,0)*VLOOKUP(AF101,'Look Ups'!$H$3:$I$7,2,0))</f>
        <v>0.995</v>
      </c>
      <c r="AH101" s="71">
        <v>20.399999999999999</v>
      </c>
      <c r="AI101" s="60">
        <v>20.12</v>
      </c>
      <c r="AJ101" s="60">
        <v>5.64</v>
      </c>
      <c r="AK101" s="60">
        <v>2.17</v>
      </c>
      <c r="AL101" s="60">
        <v>0.65</v>
      </c>
      <c r="AM101" s="60">
        <v>20.07</v>
      </c>
      <c r="AN101" s="60">
        <v>0.22</v>
      </c>
      <c r="AO101" s="60">
        <v>5.78</v>
      </c>
      <c r="AP101" s="60">
        <v>0.02</v>
      </c>
      <c r="AQ101" s="60">
        <v>0</v>
      </c>
      <c r="AR101" s="60" t="s">
        <v>132</v>
      </c>
      <c r="AS101" s="75">
        <v>0</v>
      </c>
      <c r="AT101" s="59">
        <f t="shared" ref="AT101:AT131" si="117">P+ER</f>
        <v>20.09</v>
      </c>
      <c r="AU101" s="59">
        <f t="shared" ref="AU101:AU131" si="118">P*0.375*MC</f>
        <v>0</v>
      </c>
      <c r="AV101" s="72">
        <f>IF(C101="",0,(0.5*(_ML1*LPM)+0.5*(_ML1*HB)+0.66*(P*PR)+0.66*(_ML2*RDM)+0.66*(E*ER))*VLOOKUP(BATT,'Look Ups'!$N$3:$O$4,2,0))</f>
        <v>91.283939999999987</v>
      </c>
      <c r="AW101" s="73"/>
      <c r="AX101" s="74"/>
      <c r="AY101" s="293">
        <v>17.579999999999998</v>
      </c>
      <c r="AZ101" s="260">
        <v>4.7300000000000004</v>
      </c>
      <c r="BA101" s="260">
        <v>5.13</v>
      </c>
      <c r="BB101" s="260">
        <v>0.7</v>
      </c>
      <c r="BC101" s="260">
        <v>16.13</v>
      </c>
      <c r="BD101" s="260">
        <v>16.239999999999998</v>
      </c>
      <c r="BE101" s="260">
        <v>0.5</v>
      </c>
      <c r="BF101" s="260">
        <v>0.18</v>
      </c>
      <c r="BG101" s="260">
        <v>0</v>
      </c>
      <c r="BH101" s="75">
        <v>0</v>
      </c>
      <c r="BI101" s="72">
        <f t="shared" ref="BI101:BI115" si="119">(0.5*LL*LPG)+(0.5*_LG1*HG)+(0.66*LL*LLRG)+(0.66*FG*FRG)+(IF((HG&gt;0),(0.66*_LG2*LRG),(0.66*_LG1*LRG)))</f>
        <v>49.908572000000007</v>
      </c>
      <c r="BJ101" s="76"/>
      <c r="BK101" s="77"/>
      <c r="BL101" s="78"/>
      <c r="BM101" s="78"/>
      <c r="BN101" s="77"/>
      <c r="BO101" s="78"/>
      <c r="BP101" s="78"/>
      <c r="BQ101" s="79">
        <f t="shared" si="109"/>
        <v>0</v>
      </c>
      <c r="BR101" s="80"/>
      <c r="BS101" s="77"/>
      <c r="BT101" s="77"/>
      <c r="BU101" s="77"/>
      <c r="BV101" s="77"/>
      <c r="BW101" s="77"/>
      <c r="BX101" s="77"/>
      <c r="BY101" s="72">
        <f t="shared" si="110"/>
        <v>0</v>
      </c>
      <c r="BZ101" s="73">
        <v>11.21</v>
      </c>
      <c r="CA101" s="60">
        <v>25.3</v>
      </c>
      <c r="CB101" s="60">
        <v>20.533999999999999</v>
      </c>
      <c r="CC101" s="60">
        <v>9.33</v>
      </c>
      <c r="CD101" s="65">
        <f t="shared" ref="CD101:CD131" si="120">IF(SF&gt;0,SMG/SF*100,"")</f>
        <v>83.229259589652088</v>
      </c>
      <c r="CE101" s="75">
        <v>0</v>
      </c>
      <c r="CF101" s="79">
        <f t="shared" si="102"/>
        <v>185.36033500000002</v>
      </c>
      <c r="CG101" s="71">
        <v>11.85</v>
      </c>
      <c r="CH101" s="60">
        <v>20.100000000000001</v>
      </c>
      <c r="CI101" s="60">
        <v>18.350000000000001</v>
      </c>
      <c r="CJ101" s="60">
        <v>6.09</v>
      </c>
      <c r="CK101" s="59">
        <f t="shared" ref="CK101:CK131" si="121">IF(CG101&gt;0,CJ101/CG101*100,"")</f>
        <v>51.392405063291136</v>
      </c>
      <c r="CL101" s="75">
        <v>0</v>
      </c>
      <c r="CM101" s="72">
        <f t="shared" ref="CM101:CM131" si="122">SCRF*(ScrL1+ScrL2)/4+(ScrMG-SCRF/2)*(ScrL1+ScrL2)/3</f>
        <v>116.022875</v>
      </c>
      <c r="CN101" s="81">
        <f t="shared" ref="CN101:CN131" si="123">IF(ZVAL=1,1,IF(LPM&gt;0,0.64*((AM+MAM)/(E+(MC/2))^2)^0.3,0))</f>
        <v>1</v>
      </c>
      <c r="CO101" s="59">
        <f t="shared" ref="CO101:CO131" si="124">0.65*((AM+MAM)*EFM)+0.35*((AM+MAM)*ZVAL)</f>
        <v>91.283939999999987</v>
      </c>
      <c r="CP101" s="59">
        <f t="shared" ref="CP101:CP131" si="125">IF(ZVAL=1,1,IF(LPG&gt;0,0.72*(AG/(LPG^2))^0.3,0))</f>
        <v>1</v>
      </c>
      <c r="CQ101" s="59">
        <f t="shared" ref="CQ101:CQ131" si="126">AG*EFG</f>
        <v>49.908572000000007</v>
      </c>
      <c r="CR101" s="59">
        <f>IF(AV101&gt;0,'Look Ups'!$L$3,0)</f>
        <v>1</v>
      </c>
      <c r="CS101" s="59">
        <f t="shared" si="103"/>
        <v>0</v>
      </c>
      <c r="CT101" s="59">
        <f t="shared" si="104"/>
        <v>0</v>
      </c>
      <c r="CU101" s="59">
        <f t="shared" si="105"/>
        <v>0</v>
      </c>
      <c r="CV101" s="79">
        <f t="shared" si="106"/>
        <v>0</v>
      </c>
      <c r="CW101" s="82" t="str">
        <f t="shared" ref="CW101:CW131" si="127">IF((SCRF=0),"-",IF(AND(MSASC&gt;AG,ScrMG&gt;=(0.5*SCRF),ScrMG&lt;(0.75*SCRF)),"valid","ERROR"))</f>
        <v>valid</v>
      </c>
      <c r="CX101" s="65" t="str">
        <f t="shared" ref="CX101:CX131" si="128">IF((SF=0),"-",IF((SMG&lt;(0.75*SF)),"ERROR",IF(AND(MSASP&gt;MSASC,MSASP&gt;AG,MSASP&gt;=0.36*RSAM),"valid",0)))</f>
        <v>valid</v>
      </c>
      <c r="CY101" s="66" t="str">
        <f t="shared" ref="CY101:CY131" si="129">IF(C101="","",IF(CW101="valid",IF(CX101="valid","MGScrSp","MGScr"),IF(CX101="valid","MGSp","MG")))</f>
        <v>MGScrSp</v>
      </c>
      <c r="CZ101" s="81">
        <f t="shared" ref="CZ101:CZ131" si="130">RSAM+RSAG</f>
        <v>141.19251199999999</v>
      </c>
      <c r="DA101" s="59">
        <f t="shared" ref="DA101:DA131" si="131">IF(MSASP&gt;0,0.3*(ZVAL*MSASP-RSAG),0)</f>
        <v>40.635528900000004</v>
      </c>
      <c r="DB101" s="59">
        <f t="shared" ref="DB101:DB131" si="132">IF(AND(MSASC&gt;0,(MSASC&gt;=0.36*RSAM)),(0.35*(ZVAL*MSASC-RSAG)),(0))</f>
        <v>23.140006049999997</v>
      </c>
      <c r="DC101" s="59">
        <f t="shared" ref="DC101:DC131" si="133">IF(MSASP&gt;0,0.295*(ZVAL*MSASP-RSAG),0)</f>
        <v>39.958270085000009</v>
      </c>
      <c r="DD101" s="59">
        <f t="shared" ref="DD101:DD131" si="134">IF(MSASC&gt;0,0.055*(MSASC-RSAG),0)</f>
        <v>3.6362866649999996</v>
      </c>
      <c r="DE101" s="79">
        <f t="shared" ref="DE101:DE131" si="135">RSAMG+(ZVAL*0.3*0.36*(RSAM-RSAG))</f>
        <v>145.66105174399999</v>
      </c>
      <c r="DF101" s="83">
        <f t="shared" ref="DF101:DF131" si="136">IF(CY101="MG",DE101,IF(CY101="MGScr",RAMG+RASCO,IF(CY101="MGSp",RAMG+RASPO,IF(CY101="MGScrSp",RAMG+RASPSC+RASCR,0))))+RSAST+RSAD+RSAMZ+RSA2M</f>
        <v>184.78706875</v>
      </c>
      <c r="DG101" s="412"/>
      <c r="DH101" s="286"/>
      <c r="DI101" s="286"/>
      <c r="DJ101" s="286"/>
      <c r="DK101" s="286"/>
      <c r="DL101" s="286"/>
      <c r="DM101" s="286"/>
      <c r="DN101" s="286"/>
      <c r="DO101" s="286"/>
      <c r="DP101" s="286"/>
      <c r="DQ101" s="286"/>
      <c r="DR101" s="286"/>
      <c r="DS101" s="286"/>
      <c r="DT101" s="286"/>
      <c r="DU101" s="286"/>
      <c r="DV101" s="286"/>
      <c r="DW101" s="286"/>
      <c r="DX101" s="286"/>
      <c r="DY101" s="286"/>
      <c r="DZ101" s="286"/>
      <c r="EA101" s="286"/>
      <c r="EB101" s="286"/>
      <c r="EC101" s="286"/>
      <c r="ED101" s="286"/>
      <c r="EE101" s="286"/>
      <c r="EF101" s="286"/>
      <c r="EG101" s="286"/>
      <c r="EH101" s="286"/>
      <c r="EI101" s="286"/>
      <c r="EJ101" s="286"/>
      <c r="EK101" s="286"/>
      <c r="EL101" s="286"/>
      <c r="EM101" s="286"/>
      <c r="EN101" s="286"/>
      <c r="EO101" s="286"/>
      <c r="EP101" s="286"/>
      <c r="EQ101" s="286"/>
      <c r="ER101" s="286"/>
      <c r="ES101" s="286"/>
      <c r="ET101" s="286"/>
      <c r="EU101" s="286"/>
      <c r="EV101" s="286"/>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row>
    <row r="102" spans="1:255" ht="16.5" customHeight="1" x14ac:dyDescent="0.25">
      <c r="B102" s="414"/>
      <c r="C102" s="414" t="s">
        <v>424</v>
      </c>
      <c r="D102" s="48" t="s">
        <v>235</v>
      </c>
      <c r="E102" s="49" t="s">
        <v>425</v>
      </c>
      <c r="F102" s="415">
        <f t="shared" si="112"/>
        <v>0.85092001181817489</v>
      </c>
      <c r="G102" s="415" t="str">
        <f t="shared" ca="1" si="113"/>
        <v>No</v>
      </c>
      <c r="H102" s="51" t="str">
        <f t="shared" si="114"/>
        <v>Main - Genoa - Screacher - Spinnaker</v>
      </c>
      <c r="I102" s="52">
        <v>41230</v>
      </c>
      <c r="J102" s="52">
        <v>43405</v>
      </c>
      <c r="K102" s="53" t="s">
        <v>468</v>
      </c>
      <c r="L102" s="53" t="s">
        <v>841</v>
      </c>
      <c r="M102" s="54"/>
      <c r="N102" s="55" t="s">
        <v>127</v>
      </c>
      <c r="O102" s="55" t="s">
        <v>128</v>
      </c>
      <c r="P102" s="86"/>
      <c r="Q102" s="57">
        <v>7.09</v>
      </c>
      <c r="R102" s="58"/>
      <c r="S102" s="59">
        <f t="shared" si="111"/>
        <v>0.17725000000000002</v>
      </c>
      <c r="T102" s="60">
        <v>0.03</v>
      </c>
      <c r="U102" s="60"/>
      <c r="V102" s="61">
        <f t="shared" si="108"/>
        <v>7.06</v>
      </c>
      <c r="W102" s="62">
        <f>IF(RL&gt;0,IF(RL&gt;'Look Ups'!R$7,'Look Ups'!R$8,('Look Ups'!R$3*RL^3+'Look Ups'!R$4*RL^2+'Look Ups'!R$5*RL+'Look Ups'!R$6)),0)</f>
        <v>0.29000152192799999</v>
      </c>
      <c r="X102" s="63">
        <v>950</v>
      </c>
      <c r="Y102" s="320"/>
      <c r="Z102" s="320"/>
      <c r="AA102" s="320"/>
      <c r="AB102" s="65">
        <f t="shared" si="115"/>
        <v>950</v>
      </c>
      <c r="AC102" s="66">
        <f t="shared" si="116"/>
        <v>950</v>
      </c>
      <c r="AD102" s="67" t="s">
        <v>129</v>
      </c>
      <c r="AE102" s="68" t="s">
        <v>130</v>
      </c>
      <c r="AF102" s="69" t="s">
        <v>131</v>
      </c>
      <c r="AG102" s="70">
        <f>IF(C102="",0,VLOOKUP(AD102,'Look Ups'!$B$3:$C$6,2,0)*VLOOKUP(AE102,'Look Ups'!$E$3:$F$5,2,0)*VLOOKUP(AF102,'Look Ups'!$H$3:$I$7,2,0))</f>
        <v>1</v>
      </c>
      <c r="AH102" s="71">
        <v>10.255000000000001</v>
      </c>
      <c r="AI102" s="60">
        <v>10.07</v>
      </c>
      <c r="AJ102" s="60">
        <v>2.87</v>
      </c>
      <c r="AK102" s="60">
        <v>1.2949999999999999</v>
      </c>
      <c r="AL102" s="60">
        <v>0.39</v>
      </c>
      <c r="AM102" s="60">
        <v>10.050000000000001</v>
      </c>
      <c r="AN102" s="60">
        <v>0.08</v>
      </c>
      <c r="AO102" s="60">
        <v>2.84</v>
      </c>
      <c r="AP102" s="60">
        <v>0.02</v>
      </c>
      <c r="AQ102" s="60">
        <v>0.51</v>
      </c>
      <c r="AR102" s="60" t="s">
        <v>132</v>
      </c>
      <c r="AS102" s="75" t="s">
        <v>426</v>
      </c>
      <c r="AT102" s="59">
        <f t="shared" si="117"/>
        <v>10.07</v>
      </c>
      <c r="AU102" s="59">
        <f t="shared" si="118"/>
        <v>1.9220625000000002</v>
      </c>
      <c r="AV102" s="72">
        <f>IF(C102="",0,(0.5*(_ML1*LPM)+0.5*(_ML1*HB)+0.66*(P*PR)+0.66*(_ML2*RDM)+0.66*(E*ER))*VLOOKUP(BATT,'Look Ups'!$N$3:$O$4,2,0))</f>
        <v>24.516183500000004</v>
      </c>
      <c r="AW102" s="73"/>
      <c r="AX102" s="74"/>
      <c r="AY102" s="293">
        <v>8.81</v>
      </c>
      <c r="AZ102" s="260">
        <v>2.64</v>
      </c>
      <c r="BA102" s="260">
        <v>2.9</v>
      </c>
      <c r="BB102" s="260">
        <v>0.08</v>
      </c>
      <c r="BC102" s="260">
        <v>7.97</v>
      </c>
      <c r="BD102" s="260">
        <v>7.97</v>
      </c>
      <c r="BE102" s="260">
        <v>0.06</v>
      </c>
      <c r="BF102" s="260">
        <v>0.13</v>
      </c>
      <c r="BG102" s="260">
        <v>0.03</v>
      </c>
      <c r="BH102" s="75"/>
      <c r="BI102" s="72">
        <f t="shared" si="119"/>
        <v>12.879684000000001</v>
      </c>
      <c r="BJ102" s="76"/>
      <c r="BK102" s="77"/>
      <c r="BL102" s="78"/>
      <c r="BM102" s="78"/>
      <c r="BN102" s="77"/>
      <c r="BO102" s="78"/>
      <c r="BP102" s="78"/>
      <c r="BQ102" s="79">
        <f t="shared" si="109"/>
        <v>0</v>
      </c>
      <c r="BR102" s="80"/>
      <c r="BS102" s="77"/>
      <c r="BT102" s="77"/>
      <c r="BU102" s="77"/>
      <c r="BV102" s="77"/>
      <c r="BW102" s="77"/>
      <c r="BX102" s="77"/>
      <c r="BY102" s="72">
        <f t="shared" si="110"/>
        <v>0</v>
      </c>
      <c r="BZ102" s="73">
        <v>6.03</v>
      </c>
      <c r="CA102" s="60">
        <v>12.14</v>
      </c>
      <c r="CB102" s="60">
        <v>10.77</v>
      </c>
      <c r="CC102" s="60">
        <v>5.14</v>
      </c>
      <c r="CD102" s="65">
        <f t="shared" si="120"/>
        <v>85.240464344941941</v>
      </c>
      <c r="CE102" s="60"/>
      <c r="CF102" s="79">
        <f t="shared" si="102"/>
        <v>50.764741666666666</v>
      </c>
      <c r="CG102" s="71">
        <v>4.3600000000000003</v>
      </c>
      <c r="CH102" s="60">
        <v>10.14</v>
      </c>
      <c r="CI102" s="60">
        <v>9.32</v>
      </c>
      <c r="CJ102" s="60">
        <v>2.2999999999999998</v>
      </c>
      <c r="CK102" s="59">
        <f t="shared" si="121"/>
        <v>52.752293577981646</v>
      </c>
      <c r="CL102" s="60"/>
      <c r="CM102" s="72">
        <f t="shared" si="122"/>
        <v>21.989799999999999</v>
      </c>
      <c r="CN102" s="81">
        <f t="shared" si="123"/>
        <v>1</v>
      </c>
      <c r="CO102" s="59">
        <f t="shared" si="124"/>
        <v>26.438246000000003</v>
      </c>
      <c r="CP102" s="59">
        <f t="shared" si="125"/>
        <v>1</v>
      </c>
      <c r="CQ102" s="59">
        <f t="shared" si="126"/>
        <v>12.879684000000001</v>
      </c>
      <c r="CR102" s="59">
        <f>IF(AV102&gt;0,'Look Ups'!$L$3,0)</f>
        <v>1</v>
      </c>
      <c r="CS102" s="59">
        <f t="shared" si="103"/>
        <v>0</v>
      </c>
      <c r="CT102" s="59">
        <f t="shared" si="104"/>
        <v>0</v>
      </c>
      <c r="CU102" s="59">
        <f t="shared" si="105"/>
        <v>0</v>
      </c>
      <c r="CV102" s="79">
        <f t="shared" si="106"/>
        <v>0</v>
      </c>
      <c r="CW102" s="82" t="str">
        <f t="shared" si="127"/>
        <v>valid</v>
      </c>
      <c r="CX102" s="65" t="str">
        <f t="shared" si="128"/>
        <v>valid</v>
      </c>
      <c r="CY102" s="66" t="str">
        <f t="shared" si="129"/>
        <v>MGScrSp</v>
      </c>
      <c r="CZ102" s="81">
        <f t="shared" si="130"/>
        <v>39.317930000000004</v>
      </c>
      <c r="DA102" s="59">
        <f t="shared" si="131"/>
        <v>11.3655173</v>
      </c>
      <c r="DB102" s="59">
        <f t="shared" si="132"/>
        <v>3.1885405999999992</v>
      </c>
      <c r="DC102" s="59">
        <f t="shared" si="133"/>
        <v>11.176092011666666</v>
      </c>
      <c r="DD102" s="59">
        <f t="shared" si="134"/>
        <v>0.50105637999999986</v>
      </c>
      <c r="DE102" s="79">
        <f t="shared" si="135"/>
        <v>40.782254696000003</v>
      </c>
      <c r="DF102" s="83">
        <f t="shared" si="136"/>
        <v>50.995078391666674</v>
      </c>
      <c r="DG102" s="412"/>
    </row>
    <row r="103" spans="1:255" ht="16.5" customHeight="1" x14ac:dyDescent="0.25">
      <c r="B103" s="418"/>
      <c r="C103" s="419" t="s">
        <v>958</v>
      </c>
      <c r="D103" s="263" t="s">
        <v>916</v>
      </c>
      <c r="E103" s="264" t="s">
        <v>959</v>
      </c>
      <c r="F103" s="415">
        <f t="shared" si="112"/>
        <v>0.86840300047398855</v>
      </c>
      <c r="G103" s="415" t="str">
        <f t="shared" ca="1" si="113"/>
        <v>Yes</v>
      </c>
      <c r="H103" s="51" t="str">
        <f t="shared" si="114"/>
        <v>Main - Genoa - Screacher - Spinnaker</v>
      </c>
      <c r="I103" s="52">
        <v>43007</v>
      </c>
      <c r="J103" s="52">
        <v>43887</v>
      </c>
      <c r="K103" s="53" t="s">
        <v>153</v>
      </c>
      <c r="L103" s="53" t="s">
        <v>299</v>
      </c>
      <c r="M103" s="54"/>
      <c r="N103" s="55" t="s">
        <v>127</v>
      </c>
      <c r="O103" s="55" t="s">
        <v>138</v>
      </c>
      <c r="P103" s="86"/>
      <c r="Q103" s="57">
        <v>6</v>
      </c>
      <c r="R103" s="58"/>
      <c r="S103" s="59">
        <f t="shared" si="111"/>
        <v>0.15000000000000002</v>
      </c>
      <c r="T103" s="60"/>
      <c r="U103" s="60"/>
      <c r="V103" s="61">
        <f t="shared" si="108"/>
        <v>6</v>
      </c>
      <c r="W103" s="62">
        <f>IF(RL&gt;0,IF(RL&gt;'Look Ups'!R$7,'Look Ups'!R$8,('Look Ups'!R$3*RL^3+'Look Ups'!R$4*RL^2+'Look Ups'!R$5*RL+'Look Ups'!R$6)),0)</f>
        <v>0.28422800000000004</v>
      </c>
      <c r="X103" s="63">
        <v>517</v>
      </c>
      <c r="Y103" s="64"/>
      <c r="Z103" s="64"/>
      <c r="AA103" s="64"/>
      <c r="AB103" s="65">
        <f t="shared" si="115"/>
        <v>517</v>
      </c>
      <c r="AC103" s="66">
        <f t="shared" si="116"/>
        <v>517</v>
      </c>
      <c r="AD103" s="67" t="s">
        <v>129</v>
      </c>
      <c r="AE103" s="68" t="s">
        <v>130</v>
      </c>
      <c r="AF103" s="69" t="s">
        <v>131</v>
      </c>
      <c r="AG103" s="70">
        <f>IF(C103="",0,VLOOKUP(AD103,'Look Ups'!$B$3:$C$6,2,0)*VLOOKUP(AE103,'Look Ups'!$E$3:$F$5,2,0)*VLOOKUP(AF103,'Look Ups'!$H$3:$I$7,2,0))</f>
        <v>1</v>
      </c>
      <c r="AH103" s="71">
        <v>9</v>
      </c>
      <c r="AI103" s="60">
        <v>8.82</v>
      </c>
      <c r="AJ103" s="60">
        <v>2.57</v>
      </c>
      <c r="AK103" s="60">
        <v>1.05</v>
      </c>
      <c r="AL103" s="60">
        <v>0.31</v>
      </c>
      <c r="AM103" s="60">
        <v>8.82</v>
      </c>
      <c r="AN103" s="60">
        <v>0.04</v>
      </c>
      <c r="AO103" s="60">
        <v>2.59</v>
      </c>
      <c r="AP103" s="60">
        <v>0.2</v>
      </c>
      <c r="AQ103" s="60">
        <v>0.44</v>
      </c>
      <c r="AR103" s="60" t="s">
        <v>132</v>
      </c>
      <c r="AS103" s="75" t="s">
        <v>960</v>
      </c>
      <c r="AT103" s="59">
        <f t="shared" si="117"/>
        <v>9.02</v>
      </c>
      <c r="AU103" s="59">
        <f t="shared" si="118"/>
        <v>1.4553</v>
      </c>
      <c r="AV103" s="72">
        <f>IF(C103="",0,(0.5*(_ML1*LPM)+0.5*(_ML1*HB)+0.66*(P*PR)+0.66*(_ML2*RDM)+0.66*(E*ER))*VLOOKUP(BATT,'Look Ups'!$N$3:$O$4,2,0))</f>
        <v>18.6693</v>
      </c>
      <c r="AW103" s="73"/>
      <c r="AX103" s="74"/>
      <c r="AY103" s="71">
        <v>8.2579999999999991</v>
      </c>
      <c r="AZ103" s="60">
        <v>1.88</v>
      </c>
      <c r="BA103" s="60">
        <v>2.08</v>
      </c>
      <c r="BB103" s="60">
        <v>0.04</v>
      </c>
      <c r="BC103" s="60">
        <v>7.46</v>
      </c>
      <c r="BD103" s="60"/>
      <c r="BE103" s="60"/>
      <c r="BF103" s="60">
        <v>-0.03</v>
      </c>
      <c r="BG103" s="60">
        <v>-0.11</v>
      </c>
      <c r="BH103" s="75"/>
      <c r="BI103" s="72">
        <f t="shared" si="119"/>
        <v>7.0701931999999985</v>
      </c>
      <c r="BJ103" s="76"/>
      <c r="BK103" s="77"/>
      <c r="BL103" s="78"/>
      <c r="BM103" s="78"/>
      <c r="BN103" s="77"/>
      <c r="BO103" s="78"/>
      <c r="BP103" s="78"/>
      <c r="BQ103" s="79">
        <f t="shared" si="109"/>
        <v>0</v>
      </c>
      <c r="BR103" s="80"/>
      <c r="BS103" s="77"/>
      <c r="BT103" s="77"/>
      <c r="BU103" s="77"/>
      <c r="BV103" s="77"/>
      <c r="BW103" s="77"/>
      <c r="BX103" s="77"/>
      <c r="BY103" s="72">
        <f t="shared" si="110"/>
        <v>0</v>
      </c>
      <c r="BZ103" s="73">
        <v>5.58</v>
      </c>
      <c r="CA103" s="60">
        <v>8.94</v>
      </c>
      <c r="CB103" s="60">
        <v>9.89</v>
      </c>
      <c r="CC103" s="60">
        <v>5.0199999999999996</v>
      </c>
      <c r="CD103" s="65">
        <f t="shared" si="120"/>
        <v>89.964157706093189</v>
      </c>
      <c r="CE103" s="60" t="s">
        <v>1019</v>
      </c>
      <c r="CF103" s="79">
        <f t="shared" si="102"/>
        <v>40.264816666666661</v>
      </c>
      <c r="CG103" s="71">
        <v>4.83</v>
      </c>
      <c r="CH103" s="60">
        <v>9.2799999999999994</v>
      </c>
      <c r="CI103" s="60">
        <v>8.5050000000000008</v>
      </c>
      <c r="CJ103" s="60">
        <v>2.4470000000000001</v>
      </c>
      <c r="CK103" s="59">
        <f t="shared" si="121"/>
        <v>50.662525879917183</v>
      </c>
      <c r="CL103" s="60"/>
      <c r="CM103" s="72">
        <f t="shared" si="122"/>
        <v>21.665094166666666</v>
      </c>
      <c r="CN103" s="81">
        <f t="shared" si="123"/>
        <v>1</v>
      </c>
      <c r="CO103" s="59">
        <f t="shared" si="124"/>
        <v>20.124600000000001</v>
      </c>
      <c r="CP103" s="59">
        <f t="shared" si="125"/>
        <v>1</v>
      </c>
      <c r="CQ103" s="59">
        <f t="shared" si="126"/>
        <v>7.0701931999999985</v>
      </c>
      <c r="CR103" s="59">
        <f>IF(AV103&gt;0,'Look Ups'!$L$3,0)</f>
        <v>1</v>
      </c>
      <c r="CS103" s="59">
        <f t="shared" si="103"/>
        <v>0</v>
      </c>
      <c r="CT103" s="59">
        <f t="shared" si="104"/>
        <v>0</v>
      </c>
      <c r="CU103" s="59">
        <f t="shared" si="105"/>
        <v>0</v>
      </c>
      <c r="CV103" s="79">
        <f t="shared" si="106"/>
        <v>0</v>
      </c>
      <c r="CW103" s="82" t="str">
        <f t="shared" si="127"/>
        <v>valid</v>
      </c>
      <c r="CX103" s="65" t="str">
        <f t="shared" si="128"/>
        <v>valid</v>
      </c>
      <c r="CY103" s="66" t="str">
        <f t="shared" si="129"/>
        <v>MGScrSp</v>
      </c>
      <c r="CZ103" s="81">
        <f t="shared" si="130"/>
        <v>27.194793199999999</v>
      </c>
      <c r="DA103" s="59">
        <f t="shared" si="131"/>
        <v>9.9583870399999981</v>
      </c>
      <c r="DB103" s="59">
        <f t="shared" si="132"/>
        <v>5.1082153383333333</v>
      </c>
      <c r="DC103" s="59">
        <f t="shared" si="133"/>
        <v>9.7924139226666647</v>
      </c>
      <c r="DD103" s="59">
        <f t="shared" si="134"/>
        <v>0.80271955316666677</v>
      </c>
      <c r="DE103" s="79">
        <f t="shared" si="135"/>
        <v>28.604669134399998</v>
      </c>
      <c r="DF103" s="83">
        <f t="shared" si="136"/>
        <v>37.789926675833328</v>
      </c>
      <c r="DG103" s="412"/>
    </row>
    <row r="104" spans="1:255" ht="16.5" customHeight="1" x14ac:dyDescent="0.25">
      <c r="B104" s="414"/>
      <c r="C104" s="414" t="s">
        <v>435</v>
      </c>
      <c r="D104" s="84" t="s">
        <v>436</v>
      </c>
      <c r="E104" s="49" t="s">
        <v>437</v>
      </c>
      <c r="F104" s="415">
        <f t="shared" si="112"/>
        <v>0.85348088700209468</v>
      </c>
      <c r="G104" s="415" t="str">
        <f t="shared" ca="1" si="113"/>
        <v>No</v>
      </c>
      <c r="H104" s="51" t="str">
        <f t="shared" si="114"/>
        <v>Main - Genoa - Spinnaker</v>
      </c>
      <c r="I104" s="52">
        <v>38071</v>
      </c>
      <c r="J104" s="52">
        <v>43002</v>
      </c>
      <c r="K104" s="53" t="s">
        <v>915</v>
      </c>
      <c r="L104" s="53" t="s">
        <v>841</v>
      </c>
      <c r="M104" s="54"/>
      <c r="N104" s="55" t="s">
        <v>127</v>
      </c>
      <c r="O104" s="55"/>
      <c r="P104" s="86"/>
      <c r="Q104" s="57">
        <v>11.05</v>
      </c>
      <c r="R104" s="58"/>
      <c r="S104" s="59">
        <f t="shared" si="111"/>
        <v>0.27625000000000005</v>
      </c>
      <c r="T104" s="60">
        <v>0.2</v>
      </c>
      <c r="U104" s="60">
        <v>0</v>
      </c>
      <c r="V104" s="61">
        <f t="shared" si="108"/>
        <v>10.850000000000001</v>
      </c>
      <c r="W104" s="62">
        <f>IF(RL&gt;0,IF(RL&gt;'Look Ups'!R$7,'Look Ups'!R$8,('Look Ups'!R$3*RL^3+'Look Ups'!R$4*RL^2+'Look Ups'!R$5*RL+'Look Ups'!R$6)),0)</f>
        <v>0.29941404112500003</v>
      </c>
      <c r="X104" s="63">
        <v>3753</v>
      </c>
      <c r="Y104" s="64"/>
      <c r="Z104" s="64"/>
      <c r="AA104" s="64"/>
      <c r="AB104" s="65">
        <f t="shared" si="115"/>
        <v>3753</v>
      </c>
      <c r="AC104" s="66">
        <f t="shared" si="116"/>
        <v>3753</v>
      </c>
      <c r="AD104" s="67" t="s">
        <v>129</v>
      </c>
      <c r="AE104" s="68" t="s">
        <v>130</v>
      </c>
      <c r="AF104" s="69" t="s">
        <v>131</v>
      </c>
      <c r="AG104" s="70">
        <f>IF(C104="",0,VLOOKUP(AD104,'Look Ups'!$B$3:$C$6,2,0)*VLOOKUP(AE104,'Look Ups'!$E$3:$F$5,2,0)*VLOOKUP(AF104,'Look Ups'!$H$3:$I$7,2,0))</f>
        <v>1</v>
      </c>
      <c r="AH104" s="71">
        <v>13.92</v>
      </c>
      <c r="AI104" s="60">
        <v>13.4</v>
      </c>
      <c r="AJ104" s="60">
        <v>4.66</v>
      </c>
      <c r="AK104" s="60">
        <v>1.59</v>
      </c>
      <c r="AL104" s="60">
        <v>0.51</v>
      </c>
      <c r="AM104" s="60">
        <v>13.35</v>
      </c>
      <c r="AN104" s="60">
        <v>0.12</v>
      </c>
      <c r="AO104" s="60">
        <v>4.87</v>
      </c>
      <c r="AP104" s="60">
        <v>0.06</v>
      </c>
      <c r="AQ104" s="60">
        <v>0.66</v>
      </c>
      <c r="AR104" s="60" t="s">
        <v>132</v>
      </c>
      <c r="AS104" s="75">
        <v>0</v>
      </c>
      <c r="AT104" s="59">
        <f t="shared" si="117"/>
        <v>13.41</v>
      </c>
      <c r="AU104" s="59">
        <f t="shared" si="118"/>
        <v>3.304125</v>
      </c>
      <c r="AV104" s="72">
        <f>IF(C104="",0,(0.5*(_ML1*LPM)+0.5*(_ML1*HB)+0.66*(P*PR)+0.66*(_ML2*RDM)+0.66*(E*ER))*VLOOKUP(BATT,'Look Ups'!$N$3:$O$4,2,0))</f>
        <v>49.260612000000002</v>
      </c>
      <c r="AW104" s="73"/>
      <c r="AX104" s="74"/>
      <c r="AY104" s="71">
        <v>12.08</v>
      </c>
      <c r="AZ104" s="60">
        <v>4.16</v>
      </c>
      <c r="BA104" s="60">
        <v>4.5199999999999996</v>
      </c>
      <c r="BB104" s="60">
        <v>0.17</v>
      </c>
      <c r="BC104" s="60">
        <v>11</v>
      </c>
      <c r="BD104" s="60"/>
      <c r="BE104" s="60"/>
      <c r="BF104" s="60">
        <v>0.11</v>
      </c>
      <c r="BG104" s="60">
        <v>3.5000000000000003E-2</v>
      </c>
      <c r="BH104" s="75">
        <v>0</v>
      </c>
      <c r="BI104" s="72">
        <f t="shared" si="119"/>
        <v>26.711192</v>
      </c>
      <c r="BJ104" s="76"/>
      <c r="BK104" s="77"/>
      <c r="BL104" s="78"/>
      <c r="BM104" s="78"/>
      <c r="BN104" s="77"/>
      <c r="BO104" s="78"/>
      <c r="BP104" s="78"/>
      <c r="BQ104" s="79">
        <f t="shared" si="109"/>
        <v>0</v>
      </c>
      <c r="BR104" s="80"/>
      <c r="BS104" s="77"/>
      <c r="BT104" s="77"/>
      <c r="BU104" s="77"/>
      <c r="BV104" s="77"/>
      <c r="BW104" s="77"/>
      <c r="BX104" s="77"/>
      <c r="BY104" s="72">
        <f t="shared" si="110"/>
        <v>0</v>
      </c>
      <c r="BZ104" s="73">
        <v>11.38</v>
      </c>
      <c r="CA104" s="60">
        <v>16.11</v>
      </c>
      <c r="CB104" s="60">
        <v>14.75</v>
      </c>
      <c r="CC104" s="60">
        <v>9.26</v>
      </c>
      <c r="CD104" s="65">
        <f t="shared" si="120"/>
        <v>81.370826010544803</v>
      </c>
      <c r="CE104" s="60">
        <v>0</v>
      </c>
      <c r="CF104" s="79">
        <f t="shared" si="102"/>
        <v>124.52009999999999</v>
      </c>
      <c r="CG104" s="71"/>
      <c r="CH104" s="60"/>
      <c r="CI104" s="60"/>
      <c r="CJ104" s="60"/>
      <c r="CK104" s="59" t="str">
        <f t="shared" si="121"/>
        <v/>
      </c>
      <c r="CL104" s="60">
        <v>0</v>
      </c>
      <c r="CM104" s="72">
        <f t="shared" si="122"/>
        <v>0</v>
      </c>
      <c r="CN104" s="81">
        <f t="shared" si="123"/>
        <v>1</v>
      </c>
      <c r="CO104" s="59">
        <f t="shared" si="124"/>
        <v>52.564737000000008</v>
      </c>
      <c r="CP104" s="59">
        <f t="shared" si="125"/>
        <v>1</v>
      </c>
      <c r="CQ104" s="59">
        <f t="shared" si="126"/>
        <v>26.711192</v>
      </c>
      <c r="CR104" s="59">
        <f>IF(AV104&gt;0,'Look Ups'!$L$3,0)</f>
        <v>1</v>
      </c>
      <c r="CS104" s="59">
        <f t="shared" si="103"/>
        <v>0</v>
      </c>
      <c r="CT104" s="59">
        <f t="shared" si="104"/>
        <v>0</v>
      </c>
      <c r="CU104" s="59">
        <f t="shared" si="105"/>
        <v>0</v>
      </c>
      <c r="CV104" s="79">
        <f t="shared" si="106"/>
        <v>0</v>
      </c>
      <c r="CW104" s="82" t="str">
        <f t="shared" si="127"/>
        <v>-</v>
      </c>
      <c r="CX104" s="65" t="str">
        <f t="shared" si="128"/>
        <v>valid</v>
      </c>
      <c r="CY104" s="66" t="str">
        <f t="shared" si="129"/>
        <v>MGSp</v>
      </c>
      <c r="CZ104" s="81">
        <f t="shared" si="130"/>
        <v>79.275929000000005</v>
      </c>
      <c r="DA104" s="59">
        <f t="shared" si="131"/>
        <v>29.342672399999994</v>
      </c>
      <c r="DB104" s="59">
        <f t="shared" si="132"/>
        <v>0</v>
      </c>
      <c r="DC104" s="59">
        <f t="shared" si="133"/>
        <v>28.853627859999996</v>
      </c>
      <c r="DD104" s="59">
        <f t="shared" si="134"/>
        <v>0</v>
      </c>
      <c r="DE104" s="79">
        <f t="shared" si="135"/>
        <v>82.068111860000002</v>
      </c>
      <c r="DF104" s="83">
        <f t="shared" si="136"/>
        <v>108.6186014</v>
      </c>
      <c r="DG104" s="412"/>
    </row>
    <row r="105" spans="1:255" ht="16.5" customHeight="1" x14ac:dyDescent="0.25">
      <c r="B105" s="418"/>
      <c r="C105" s="414" t="s">
        <v>438</v>
      </c>
      <c r="D105" s="84" t="s">
        <v>439</v>
      </c>
      <c r="E105" s="49" t="s">
        <v>440</v>
      </c>
      <c r="F105" s="415">
        <f t="shared" si="112"/>
        <v>0.8604974015378084</v>
      </c>
      <c r="G105" s="415" t="str">
        <f t="shared" ca="1" si="113"/>
        <v>No</v>
      </c>
      <c r="H105" s="51" t="str">
        <f t="shared" si="114"/>
        <v>Main - Genoa - Spinnaker</v>
      </c>
      <c r="I105" s="52">
        <v>40082</v>
      </c>
      <c r="J105" s="52">
        <v>44672</v>
      </c>
      <c r="K105" s="53" t="s">
        <v>849</v>
      </c>
      <c r="L105" s="53" t="s">
        <v>614</v>
      </c>
      <c r="M105" s="54" t="s">
        <v>1086</v>
      </c>
      <c r="N105" s="75" t="s">
        <v>127</v>
      </c>
      <c r="O105" s="75"/>
      <c r="P105" s="85"/>
      <c r="Q105" s="57">
        <v>7.15</v>
      </c>
      <c r="R105" s="58"/>
      <c r="S105" s="59">
        <f t="shared" si="111"/>
        <v>0.17875000000000002</v>
      </c>
      <c r="T105" s="60">
        <v>0</v>
      </c>
      <c r="U105" s="60">
        <v>0</v>
      </c>
      <c r="V105" s="61">
        <f t="shared" si="108"/>
        <v>7.15</v>
      </c>
      <c r="W105" s="62">
        <f>IF(RL&gt;0,IF(RL&gt;'Look Ups'!R$7,'Look Ups'!R$8,('Look Ups'!R$3*RL^3+'Look Ups'!R$4*RL^2+'Look Ups'!R$5*RL+'Look Ups'!R$6)),0)</f>
        <v>0.29041585387500002</v>
      </c>
      <c r="X105" s="63">
        <v>1003</v>
      </c>
      <c r="Y105" s="64"/>
      <c r="Z105" s="64"/>
      <c r="AA105" s="64"/>
      <c r="AB105" s="65">
        <f t="shared" si="115"/>
        <v>1003</v>
      </c>
      <c r="AC105" s="66">
        <f t="shared" si="116"/>
        <v>1003</v>
      </c>
      <c r="AD105" s="67" t="s">
        <v>129</v>
      </c>
      <c r="AE105" s="68" t="s">
        <v>130</v>
      </c>
      <c r="AF105" s="69" t="s">
        <v>131</v>
      </c>
      <c r="AG105" s="70">
        <f>IF(C105="",0,VLOOKUP(AD105,'Look Ups'!$B$3:$C$6,2,0)*VLOOKUP(AE105,'Look Ups'!$E$3:$F$5,2,0)*VLOOKUP(AF105,'Look Ups'!$H$3:$I$7,2,0))</f>
        <v>1</v>
      </c>
      <c r="AH105" s="71">
        <v>10.045</v>
      </c>
      <c r="AI105" s="60">
        <v>9.82</v>
      </c>
      <c r="AJ105" s="60">
        <v>3.16</v>
      </c>
      <c r="AK105" s="60">
        <v>1.48</v>
      </c>
      <c r="AL105" s="60">
        <v>0.28000000000000003</v>
      </c>
      <c r="AM105" s="60">
        <v>10.71</v>
      </c>
      <c r="AN105" s="60">
        <v>0.125</v>
      </c>
      <c r="AO105" s="60">
        <v>3.16</v>
      </c>
      <c r="AP105" s="60">
        <v>0.04</v>
      </c>
      <c r="AQ105" s="60"/>
      <c r="AR105" s="60" t="s">
        <v>132</v>
      </c>
      <c r="AS105" s="75"/>
      <c r="AT105" s="59">
        <f t="shared" si="117"/>
        <v>10.75</v>
      </c>
      <c r="AU105" s="59">
        <f t="shared" si="118"/>
        <v>0</v>
      </c>
      <c r="AV105" s="72">
        <f>IF(C105="",0,(0.5*(_ML1*LPM)+0.5*(_ML1*HB)+0.66*(P*PR)+0.66*(_ML2*RDM)+0.66*(E*ER))*VLOOKUP(BATT,'Look Ups'!$N$3:$O$4,2,0))</f>
        <v>26.086135000000002</v>
      </c>
      <c r="AW105" s="73"/>
      <c r="AX105" s="74"/>
      <c r="AY105" s="71">
        <v>9.99</v>
      </c>
      <c r="AZ105" s="60">
        <v>2.85</v>
      </c>
      <c r="BA105" s="60">
        <v>3.02</v>
      </c>
      <c r="BB105" s="60">
        <v>0.14499999999999999</v>
      </c>
      <c r="BC105" s="60">
        <v>9.4</v>
      </c>
      <c r="BD105" s="60"/>
      <c r="BE105" s="60"/>
      <c r="BF105" s="60">
        <v>0.13</v>
      </c>
      <c r="BG105" s="60">
        <v>0</v>
      </c>
      <c r="BH105" s="75"/>
      <c r="BI105" s="72">
        <f t="shared" si="119"/>
        <v>15.331284000000002</v>
      </c>
      <c r="BJ105" s="76"/>
      <c r="BK105" s="77"/>
      <c r="BL105" s="78"/>
      <c r="BM105" s="78"/>
      <c r="BN105" s="77"/>
      <c r="BO105" s="78"/>
      <c r="BP105" s="78"/>
      <c r="BQ105" s="79">
        <f t="shared" si="109"/>
        <v>0</v>
      </c>
      <c r="BR105" s="80"/>
      <c r="BS105" s="77"/>
      <c r="BT105" s="77"/>
      <c r="BU105" s="77"/>
      <c r="BV105" s="77"/>
      <c r="BW105" s="77"/>
      <c r="BX105" s="77"/>
      <c r="BY105" s="72">
        <f t="shared" si="110"/>
        <v>0</v>
      </c>
      <c r="BZ105" s="73">
        <v>7.1</v>
      </c>
      <c r="CA105" s="60">
        <v>11.75</v>
      </c>
      <c r="CB105" s="60">
        <v>9.25</v>
      </c>
      <c r="CC105" s="60">
        <v>6.5</v>
      </c>
      <c r="CD105" s="65">
        <f t="shared" si="120"/>
        <v>91.549295774647888</v>
      </c>
      <c r="CE105" s="60"/>
      <c r="CF105" s="79">
        <f t="shared" si="102"/>
        <v>57.924999999999997</v>
      </c>
      <c r="CG105" s="71"/>
      <c r="CH105" s="60"/>
      <c r="CI105" s="60"/>
      <c r="CJ105" s="60"/>
      <c r="CK105" s="59" t="str">
        <f t="shared" si="121"/>
        <v/>
      </c>
      <c r="CL105" s="75"/>
      <c r="CM105" s="72">
        <f t="shared" si="122"/>
        <v>0</v>
      </c>
      <c r="CN105" s="81">
        <f t="shared" si="123"/>
        <v>1</v>
      </c>
      <c r="CO105" s="59">
        <f t="shared" si="124"/>
        <v>26.086135000000002</v>
      </c>
      <c r="CP105" s="59">
        <f t="shared" si="125"/>
        <v>1</v>
      </c>
      <c r="CQ105" s="59">
        <f t="shared" si="126"/>
        <v>15.331284000000002</v>
      </c>
      <c r="CR105" s="59">
        <f>IF(AV105&gt;0,'Look Ups'!$L$3,0)</f>
        <v>1</v>
      </c>
      <c r="CS105" s="59">
        <f t="shared" si="103"/>
        <v>0</v>
      </c>
      <c r="CT105" s="59">
        <f t="shared" si="104"/>
        <v>0</v>
      </c>
      <c r="CU105" s="59">
        <f t="shared" si="105"/>
        <v>0</v>
      </c>
      <c r="CV105" s="79">
        <f t="shared" si="106"/>
        <v>0</v>
      </c>
      <c r="CW105" s="82" t="str">
        <f t="shared" si="127"/>
        <v>-</v>
      </c>
      <c r="CX105" s="65" t="str">
        <f t="shared" si="128"/>
        <v>valid</v>
      </c>
      <c r="CY105" s="66" t="str">
        <f t="shared" si="129"/>
        <v>MGSp</v>
      </c>
      <c r="CZ105" s="81">
        <f t="shared" si="130"/>
        <v>41.417419000000002</v>
      </c>
      <c r="DA105" s="59">
        <f t="shared" si="131"/>
        <v>12.778114799999997</v>
      </c>
      <c r="DB105" s="59">
        <f t="shared" si="132"/>
        <v>0</v>
      </c>
      <c r="DC105" s="59">
        <f t="shared" si="133"/>
        <v>12.565146219999997</v>
      </c>
      <c r="DD105" s="59">
        <f t="shared" si="134"/>
        <v>0</v>
      </c>
      <c r="DE105" s="79">
        <f t="shared" si="135"/>
        <v>42.578942908000002</v>
      </c>
      <c r="DF105" s="83">
        <f t="shared" si="136"/>
        <v>54.1955338</v>
      </c>
      <c r="DG105" s="412"/>
    </row>
    <row r="106" spans="1:255" ht="16.5" customHeight="1" x14ac:dyDescent="0.25">
      <c r="B106" s="414"/>
      <c r="C106" s="414" t="s">
        <v>531</v>
      </c>
      <c r="D106" s="48" t="s">
        <v>532</v>
      </c>
      <c r="E106" s="49" t="s">
        <v>874</v>
      </c>
      <c r="F106" s="415">
        <f t="shared" si="112"/>
        <v>0.83763356063394923</v>
      </c>
      <c r="G106" s="415" t="str">
        <f t="shared" ca="1" si="113"/>
        <v>Yes</v>
      </c>
      <c r="H106" s="51" t="str">
        <f t="shared" si="114"/>
        <v>Main - Genoa - Spinnaker</v>
      </c>
      <c r="I106" s="52">
        <v>42584</v>
      </c>
      <c r="J106" s="52">
        <v>42955</v>
      </c>
      <c r="K106" s="53" t="s">
        <v>187</v>
      </c>
      <c r="L106" s="53" t="s">
        <v>841</v>
      </c>
      <c r="M106" s="54"/>
      <c r="N106" s="55" t="s">
        <v>149</v>
      </c>
      <c r="O106" s="55"/>
      <c r="P106" s="56"/>
      <c r="Q106" s="57">
        <v>18.32</v>
      </c>
      <c r="R106" s="58"/>
      <c r="S106" s="59">
        <f t="shared" si="111"/>
        <v>0.45800000000000002</v>
      </c>
      <c r="T106" s="60"/>
      <c r="U106" s="60"/>
      <c r="V106" s="61">
        <f t="shared" si="108"/>
        <v>18.32</v>
      </c>
      <c r="W106" s="62">
        <f>IF(RL&gt;0,IF(RL&gt;'Look Ups'!R$7,'Look Ups'!R$8,('Look Ups'!R$3*RL^3+'Look Ups'!R$4*RL^2+'Look Ups'!R$5*RL+'Look Ups'!R$6)),0)</f>
        <v>0.3</v>
      </c>
      <c r="X106" s="63">
        <v>21540</v>
      </c>
      <c r="Y106" s="64"/>
      <c r="Z106" s="64"/>
      <c r="AA106" s="64"/>
      <c r="AB106" s="65">
        <f t="shared" si="115"/>
        <v>21540</v>
      </c>
      <c r="AC106" s="66">
        <f t="shared" si="116"/>
        <v>21540</v>
      </c>
      <c r="AD106" s="67" t="s">
        <v>129</v>
      </c>
      <c r="AE106" s="68" t="s">
        <v>130</v>
      </c>
      <c r="AF106" s="69" t="s">
        <v>161</v>
      </c>
      <c r="AG106" s="70">
        <f>IF(C106="",0,VLOOKUP(AD106,'Look Ups'!$B$3:$C$6,2,0)*VLOOKUP(AE106,'Look Ups'!$E$3:$F$5,2,0)*VLOOKUP(AF106,'Look Ups'!$H$3:$I$7,2,0))</f>
        <v>0.99</v>
      </c>
      <c r="AH106" s="71">
        <v>24</v>
      </c>
      <c r="AI106" s="60">
        <v>23.25</v>
      </c>
      <c r="AJ106" s="60">
        <v>7.37</v>
      </c>
      <c r="AK106" s="60">
        <v>2.96</v>
      </c>
      <c r="AL106" s="60">
        <v>1.07</v>
      </c>
      <c r="AM106" s="60">
        <v>23.15</v>
      </c>
      <c r="AN106" s="60">
        <v>0.23</v>
      </c>
      <c r="AO106" s="60">
        <v>7.64</v>
      </c>
      <c r="AP106" s="60">
        <v>0.04</v>
      </c>
      <c r="AQ106" s="60">
        <v>1.75</v>
      </c>
      <c r="AR106" s="60" t="s">
        <v>132</v>
      </c>
      <c r="AS106" s="75"/>
      <c r="AT106" s="59">
        <f t="shared" si="117"/>
        <v>23.189999999999998</v>
      </c>
      <c r="AU106" s="59">
        <f t="shared" si="118"/>
        <v>15.192187499999998</v>
      </c>
      <c r="AV106" s="72">
        <f>IF(C106="",0,(0.5*(_ML1*LPM)+0.5*(_ML1*HB)+0.66*(P*PR)+0.66*(_ML2*RDM)+0.66*(E*ER))*VLOOKUP(BATT,'Look Ups'!$N$3:$O$4,2,0))</f>
        <v>144.09501599999999</v>
      </c>
      <c r="AW106" s="73"/>
      <c r="AX106" s="74"/>
      <c r="AY106" s="261">
        <v>23.68</v>
      </c>
      <c r="AZ106" s="259">
        <v>5.8</v>
      </c>
      <c r="BA106" s="259">
        <v>6.27</v>
      </c>
      <c r="BB106" s="259">
        <v>0.17</v>
      </c>
      <c r="BC106" s="259">
        <v>22.1</v>
      </c>
      <c r="BD106" s="259"/>
      <c r="BE106" s="259"/>
      <c r="BF106" s="259">
        <v>-0.03</v>
      </c>
      <c r="BG106" s="259">
        <v>-0.05</v>
      </c>
      <c r="BH106" s="75"/>
      <c r="BI106" s="72">
        <f t="shared" si="119"/>
        <v>68.156474000000003</v>
      </c>
      <c r="BJ106" s="76"/>
      <c r="BK106" s="77"/>
      <c r="BL106" s="78"/>
      <c r="BM106" s="78"/>
      <c r="BN106" s="77"/>
      <c r="BO106" s="78"/>
      <c r="BP106" s="78"/>
      <c r="BQ106" s="79">
        <f t="shared" si="109"/>
        <v>0</v>
      </c>
      <c r="BR106" s="80"/>
      <c r="BS106" s="77"/>
      <c r="BT106" s="77"/>
      <c r="BU106" s="77"/>
      <c r="BV106" s="77"/>
      <c r="BW106" s="77"/>
      <c r="BX106" s="77"/>
      <c r="BY106" s="72">
        <f t="shared" si="110"/>
        <v>0</v>
      </c>
      <c r="BZ106" s="73">
        <v>14.5</v>
      </c>
      <c r="CA106" s="60">
        <v>27.66</v>
      </c>
      <c r="CB106" s="60">
        <v>24.16</v>
      </c>
      <c r="CC106" s="60">
        <v>13.5</v>
      </c>
      <c r="CD106" s="65">
        <f t="shared" si="120"/>
        <v>93.103448275862064</v>
      </c>
      <c r="CE106" s="60"/>
      <c r="CF106" s="79">
        <f t="shared" ref="CF106:CF131" si="137">SF*(_SL1+_SL2)/4+(SMG-SF/2)*(_SL1+_SL2)/3</f>
        <v>295.80583333333334</v>
      </c>
      <c r="CG106" s="71"/>
      <c r="CH106" s="60"/>
      <c r="CI106" s="60"/>
      <c r="CJ106" s="60"/>
      <c r="CK106" s="59" t="str">
        <f t="shared" si="121"/>
        <v/>
      </c>
      <c r="CL106" s="60"/>
      <c r="CM106" s="72">
        <f t="shared" si="122"/>
        <v>0</v>
      </c>
      <c r="CN106" s="81">
        <f t="shared" si="123"/>
        <v>1</v>
      </c>
      <c r="CO106" s="59">
        <f t="shared" si="124"/>
        <v>159.28720349999998</v>
      </c>
      <c r="CP106" s="59">
        <f t="shared" si="125"/>
        <v>1</v>
      </c>
      <c r="CQ106" s="59">
        <f t="shared" si="126"/>
        <v>68.156474000000003</v>
      </c>
      <c r="CR106" s="59">
        <f>IF(AV106&gt;0,'Look Ups'!$L$3,0)</f>
        <v>1</v>
      </c>
      <c r="CS106" s="59">
        <f t="shared" ref="CS106:CS123" si="138">IF(LPS&gt;0,0.72*(AS/(LPS^2))^0.3,0)</f>
        <v>0</v>
      </c>
      <c r="CT106" s="59">
        <f t="shared" ref="CT106:CT123" si="139">EFS*AS</f>
        <v>0</v>
      </c>
      <c r="CU106" s="59">
        <f t="shared" ref="CU106:CU123" si="140">IF(LPD&gt;0,0.72*(AD/(LPD^2))^0.3,0)</f>
        <v>0</v>
      </c>
      <c r="CV106" s="79">
        <f t="shared" ref="CV106:CV123" si="141">IF((AD-AG)&gt;0,0.3*(AD-AG)*EFD,0)</f>
        <v>0</v>
      </c>
      <c r="CW106" s="82" t="str">
        <f t="shared" si="127"/>
        <v>-</v>
      </c>
      <c r="CX106" s="65" t="str">
        <f t="shared" si="128"/>
        <v>valid</v>
      </c>
      <c r="CY106" s="66" t="str">
        <f t="shared" si="129"/>
        <v>MGSp</v>
      </c>
      <c r="CZ106" s="81">
        <f t="shared" si="130"/>
        <v>227.44367749999998</v>
      </c>
      <c r="DA106" s="59">
        <f t="shared" si="131"/>
        <v>68.294807800000001</v>
      </c>
      <c r="DB106" s="59">
        <f t="shared" si="132"/>
        <v>0</v>
      </c>
      <c r="DC106" s="59">
        <f t="shared" si="133"/>
        <v>67.156561003333337</v>
      </c>
      <c r="DD106" s="59">
        <f t="shared" si="134"/>
        <v>0</v>
      </c>
      <c r="DE106" s="79">
        <f t="shared" si="135"/>
        <v>237.28579628599996</v>
      </c>
      <c r="DF106" s="83">
        <f t="shared" si="136"/>
        <v>295.73848529999998</v>
      </c>
      <c r="DG106" s="412"/>
    </row>
    <row r="107" spans="1:255" ht="16.5" customHeight="1" x14ac:dyDescent="0.25">
      <c r="B107" s="414"/>
      <c r="C107" s="414" t="s">
        <v>961</v>
      </c>
      <c r="D107" s="48" t="s">
        <v>979</v>
      </c>
      <c r="E107" s="49" t="s">
        <v>524</v>
      </c>
      <c r="F107" s="415">
        <f t="shared" si="112"/>
        <v>0.83707604222070708</v>
      </c>
      <c r="G107" s="415" t="str">
        <f t="shared" ca="1" si="113"/>
        <v>Yes</v>
      </c>
      <c r="H107" s="51" t="str">
        <f t="shared" si="114"/>
        <v>Main - Genoa - Screacher</v>
      </c>
      <c r="I107" s="52">
        <v>43541</v>
      </c>
      <c r="J107" s="52">
        <v>43542</v>
      </c>
      <c r="K107" s="53" t="s">
        <v>849</v>
      </c>
      <c r="L107" s="53" t="s">
        <v>841</v>
      </c>
      <c r="M107" s="54"/>
      <c r="N107" s="55" t="s">
        <v>127</v>
      </c>
      <c r="O107" s="55" t="s">
        <v>138</v>
      </c>
      <c r="P107" s="86"/>
      <c r="Q107" s="57">
        <v>6</v>
      </c>
      <c r="R107" s="58"/>
      <c r="S107" s="59">
        <f t="shared" si="111"/>
        <v>0.15000000000000002</v>
      </c>
      <c r="T107" s="60"/>
      <c r="U107" s="60"/>
      <c r="V107" s="61">
        <f t="shared" si="108"/>
        <v>6</v>
      </c>
      <c r="W107" s="62">
        <f>IF(RL&gt;0,IF(RL&gt;'Look Ups'!R$7,'Look Ups'!R$8,('Look Ups'!R$3*RL^3+'Look Ups'!R$4*RL^2+'Look Ups'!R$5*RL+'Look Ups'!R$6)),0)</f>
        <v>0.28422800000000004</v>
      </c>
      <c r="X107" s="63">
        <v>485</v>
      </c>
      <c r="Y107" s="64"/>
      <c r="Z107" s="64"/>
      <c r="AA107" s="64"/>
      <c r="AB107" s="65">
        <f t="shared" si="115"/>
        <v>485</v>
      </c>
      <c r="AC107" s="66">
        <f t="shared" si="116"/>
        <v>485</v>
      </c>
      <c r="AD107" s="67" t="s">
        <v>129</v>
      </c>
      <c r="AE107" s="68" t="s">
        <v>130</v>
      </c>
      <c r="AF107" s="69" t="s">
        <v>131</v>
      </c>
      <c r="AG107" s="70">
        <f>IF(C107="",0,VLOOKUP(AD107,'Look Ups'!$B$3:$C$6,2,0)*VLOOKUP(AE107,'Look Ups'!$E$3:$F$5,2,0)*VLOOKUP(AF107,'Look Ups'!$H$3:$I$7,2,0))</f>
        <v>1</v>
      </c>
      <c r="AH107" s="71">
        <v>8.77</v>
      </c>
      <c r="AI107" s="60">
        <v>8.6199999999999992</v>
      </c>
      <c r="AJ107" s="60">
        <v>2.4350000000000001</v>
      </c>
      <c r="AK107" s="60">
        <v>0.84</v>
      </c>
      <c r="AL107" s="60">
        <v>0.28999999999999998</v>
      </c>
      <c r="AM107" s="60">
        <v>8.58</v>
      </c>
      <c r="AN107" s="60">
        <v>8.5000000000000006E-2</v>
      </c>
      <c r="AO107" s="60">
        <v>2.5</v>
      </c>
      <c r="AP107" s="60">
        <v>0.05</v>
      </c>
      <c r="AQ107" s="60">
        <v>0.46</v>
      </c>
      <c r="AR107" s="60" t="s">
        <v>132</v>
      </c>
      <c r="AS107" s="75" t="s">
        <v>541</v>
      </c>
      <c r="AT107" s="59">
        <f t="shared" si="117"/>
        <v>8.6300000000000008</v>
      </c>
      <c r="AU107" s="59">
        <f t="shared" si="118"/>
        <v>1.4800500000000001</v>
      </c>
      <c r="AV107" s="72">
        <f>IF(C107="",0,(0.5*(_ML1*LPM)+0.5*(_ML1*HB)+0.66*(P*PR)+0.66*(_ML2*RDM)+0.66*(E*ER))*VLOOKUP(BATT,'Look Ups'!$N$3:$O$4,2,0))</f>
        <v>16.574581000000002</v>
      </c>
      <c r="AW107" s="73"/>
      <c r="AX107" s="74"/>
      <c r="AY107" s="71">
        <v>8.19</v>
      </c>
      <c r="AZ107" s="60">
        <v>2.4500000000000002</v>
      </c>
      <c r="BA107" s="60">
        <v>2.17</v>
      </c>
      <c r="BB107" s="60">
        <v>8.5000000000000006E-2</v>
      </c>
      <c r="BC107" s="60">
        <v>7.72</v>
      </c>
      <c r="BD107" s="60"/>
      <c r="BE107" s="60"/>
      <c r="BF107" s="60">
        <v>0</v>
      </c>
      <c r="BG107" s="60">
        <v>-0.01</v>
      </c>
      <c r="BH107" s="75"/>
      <c r="BI107" s="72">
        <f t="shared" si="119"/>
        <v>10.100432999999999</v>
      </c>
      <c r="BJ107" s="76"/>
      <c r="BK107" s="77"/>
      <c r="BL107" s="78"/>
      <c r="BM107" s="78"/>
      <c r="BN107" s="77"/>
      <c r="BO107" s="78"/>
      <c r="BP107" s="78"/>
      <c r="BQ107" s="79">
        <f t="shared" si="109"/>
        <v>0</v>
      </c>
      <c r="BR107" s="80"/>
      <c r="BS107" s="77"/>
      <c r="BT107" s="77"/>
      <c r="BU107" s="77"/>
      <c r="BV107" s="77"/>
      <c r="BW107" s="77"/>
      <c r="BX107" s="77"/>
      <c r="BY107" s="72">
        <f t="shared" si="110"/>
        <v>0</v>
      </c>
      <c r="BZ107" s="73"/>
      <c r="CA107" s="60"/>
      <c r="CB107" s="60"/>
      <c r="CC107" s="60"/>
      <c r="CD107" s="65" t="str">
        <f t="shared" si="120"/>
        <v/>
      </c>
      <c r="CE107" s="60"/>
      <c r="CF107" s="79">
        <f t="shared" si="137"/>
        <v>0</v>
      </c>
      <c r="CG107" s="71">
        <v>5.4</v>
      </c>
      <c r="CH107" s="60">
        <v>8.81</v>
      </c>
      <c r="CI107" s="60">
        <v>7.98</v>
      </c>
      <c r="CJ107" s="60">
        <v>2.79</v>
      </c>
      <c r="CK107" s="59">
        <f t="shared" si="121"/>
        <v>51.666666666666657</v>
      </c>
      <c r="CL107" s="60"/>
      <c r="CM107" s="72">
        <f t="shared" si="122"/>
        <v>23.170199999999998</v>
      </c>
      <c r="CN107" s="81">
        <f t="shared" si="123"/>
        <v>1</v>
      </c>
      <c r="CO107" s="59">
        <f t="shared" si="124"/>
        <v>18.054631000000001</v>
      </c>
      <c r="CP107" s="59">
        <f t="shared" si="125"/>
        <v>1</v>
      </c>
      <c r="CQ107" s="59">
        <f t="shared" si="126"/>
        <v>10.100432999999999</v>
      </c>
      <c r="CR107" s="59">
        <f>IF(AV107&gt;0,'Look Ups'!$L$3,0)</f>
        <v>1</v>
      </c>
      <c r="CS107" s="59">
        <f t="shared" si="138"/>
        <v>0</v>
      </c>
      <c r="CT107" s="59">
        <f t="shared" si="139"/>
        <v>0</v>
      </c>
      <c r="CU107" s="59">
        <f t="shared" si="140"/>
        <v>0</v>
      </c>
      <c r="CV107" s="79">
        <f t="shared" si="141"/>
        <v>0</v>
      </c>
      <c r="CW107" s="82" t="str">
        <f t="shared" si="127"/>
        <v>valid</v>
      </c>
      <c r="CX107" s="65" t="str">
        <f t="shared" si="128"/>
        <v>-</v>
      </c>
      <c r="CY107" s="66" t="str">
        <f t="shared" si="129"/>
        <v>MGScr</v>
      </c>
      <c r="CZ107" s="81">
        <f t="shared" si="130"/>
        <v>28.155063999999999</v>
      </c>
      <c r="DA107" s="59">
        <f t="shared" si="131"/>
        <v>0</v>
      </c>
      <c r="DB107" s="59">
        <f t="shared" si="132"/>
        <v>4.5744184499999996</v>
      </c>
      <c r="DC107" s="59">
        <f t="shared" si="133"/>
        <v>0</v>
      </c>
      <c r="DD107" s="59">
        <f t="shared" si="134"/>
        <v>0.71883718499999993</v>
      </c>
      <c r="DE107" s="79">
        <f t="shared" si="135"/>
        <v>29.014117383999999</v>
      </c>
      <c r="DF107" s="83">
        <f t="shared" si="136"/>
        <v>32.729482449999999</v>
      </c>
      <c r="DG107" s="412"/>
    </row>
    <row r="108" spans="1:255" ht="16.5" customHeight="1" x14ac:dyDescent="0.25">
      <c r="B108" s="416"/>
      <c r="C108" s="414" t="s">
        <v>936</v>
      </c>
      <c r="D108" s="48" t="s">
        <v>182</v>
      </c>
      <c r="E108" s="49" t="s">
        <v>937</v>
      </c>
      <c r="F108" s="415">
        <f t="shared" si="112"/>
        <v>0.8384609770519984</v>
      </c>
      <c r="G108" s="415" t="str">
        <f t="shared" ca="1" si="113"/>
        <v>Yes</v>
      </c>
      <c r="H108" s="51" t="str">
        <f t="shared" si="114"/>
        <v>Main - Genoa - Screacher - Spinnaker</v>
      </c>
      <c r="I108" s="52">
        <v>43186</v>
      </c>
      <c r="J108" s="52">
        <v>43186</v>
      </c>
      <c r="K108" s="53" t="s">
        <v>187</v>
      </c>
      <c r="L108" s="53" t="s">
        <v>841</v>
      </c>
      <c r="M108" s="54"/>
      <c r="N108" s="55" t="s">
        <v>149</v>
      </c>
      <c r="O108" s="55"/>
      <c r="P108" s="86"/>
      <c r="Q108" s="57">
        <v>14.15</v>
      </c>
      <c r="R108" s="58"/>
      <c r="S108" s="59">
        <f t="shared" si="111"/>
        <v>0.35375000000000001</v>
      </c>
      <c r="T108" s="60">
        <v>0.02</v>
      </c>
      <c r="U108" s="60"/>
      <c r="V108" s="61">
        <f t="shared" si="108"/>
        <v>14.13</v>
      </c>
      <c r="W108" s="62">
        <f>IF(RL&gt;0,IF(RL&gt;'Look Ups'!R$7,'Look Ups'!R$8,('Look Ups'!R$3*RL^3+'Look Ups'!R$4*RL^2+'Look Ups'!R$5*RL+'Look Ups'!R$6)),0)</f>
        <v>0.3</v>
      </c>
      <c r="X108" s="63">
        <v>6284</v>
      </c>
      <c r="Y108" s="64"/>
      <c r="Z108" s="274"/>
      <c r="AA108" s="274"/>
      <c r="AB108" s="65">
        <f t="shared" si="115"/>
        <v>6284</v>
      </c>
      <c r="AC108" s="66">
        <f t="shared" si="116"/>
        <v>6284</v>
      </c>
      <c r="AD108" s="67" t="s">
        <v>129</v>
      </c>
      <c r="AE108" s="68" t="s">
        <v>130</v>
      </c>
      <c r="AF108" s="69" t="s">
        <v>161</v>
      </c>
      <c r="AG108" s="70">
        <f>IF(C108="",0,VLOOKUP(AD108,'Look Ups'!$B$3:$C$6,2,0)*VLOOKUP(AE108,'Look Ups'!$E$3:$F$5,2,0)*VLOOKUP(AF108,'Look Ups'!$H$3:$I$7,2,0))</f>
        <v>0.99</v>
      </c>
      <c r="AH108" s="71">
        <v>15.24</v>
      </c>
      <c r="AI108" s="60">
        <v>14.66</v>
      </c>
      <c r="AJ108" s="60">
        <v>6.06</v>
      </c>
      <c r="AK108" s="60">
        <v>1.89</v>
      </c>
      <c r="AL108" s="60">
        <v>0.67</v>
      </c>
      <c r="AM108" s="60">
        <v>14.574999999999999</v>
      </c>
      <c r="AN108" s="60">
        <v>0.14000000000000001</v>
      </c>
      <c r="AO108" s="60">
        <v>6.41</v>
      </c>
      <c r="AP108" s="60">
        <v>0.105</v>
      </c>
      <c r="AQ108" s="60"/>
      <c r="AR108" s="60" t="s">
        <v>132</v>
      </c>
      <c r="AS108" s="75"/>
      <c r="AT108" s="59">
        <f t="shared" si="117"/>
        <v>14.68</v>
      </c>
      <c r="AU108" s="59">
        <f t="shared" si="118"/>
        <v>0</v>
      </c>
      <c r="AV108" s="72">
        <f>IF(C108="",0,(0.5*(_ML1*LPM)+0.5*(_ML1*HB)+0.66*(P*PR)+0.66*(_ML2*RDM)+0.66*(E*ER))*VLOOKUP(BATT,'Look Ups'!$N$3:$O$4,2,0))</f>
        <v>68.852595000000008</v>
      </c>
      <c r="AW108" s="73"/>
      <c r="AX108" s="74"/>
      <c r="AY108" s="71">
        <v>14.9</v>
      </c>
      <c r="AZ108" s="60">
        <v>3.65</v>
      </c>
      <c r="BA108" s="60">
        <v>4.22</v>
      </c>
      <c r="BB108" s="60">
        <v>0.11</v>
      </c>
      <c r="BC108" s="60">
        <v>12.15</v>
      </c>
      <c r="BD108" s="60"/>
      <c r="BE108" s="60"/>
      <c r="BF108" s="60">
        <v>-0.05</v>
      </c>
      <c r="BG108" s="60">
        <v>0.1</v>
      </c>
      <c r="BH108" s="75"/>
      <c r="BI108" s="72">
        <f t="shared" si="119"/>
        <v>28.081321999999997</v>
      </c>
      <c r="BJ108" s="76"/>
      <c r="BK108" s="77"/>
      <c r="BL108" s="78"/>
      <c r="BM108" s="78"/>
      <c r="BN108" s="77"/>
      <c r="BO108" s="78"/>
      <c r="BP108" s="78"/>
      <c r="BQ108" s="79">
        <f t="shared" si="109"/>
        <v>0</v>
      </c>
      <c r="BR108" s="80"/>
      <c r="BS108" s="77"/>
      <c r="BT108" s="77"/>
      <c r="BU108" s="77"/>
      <c r="BV108" s="77"/>
      <c r="BW108" s="77"/>
      <c r="BX108" s="77"/>
      <c r="BY108" s="72">
        <f t="shared" si="110"/>
        <v>0</v>
      </c>
      <c r="BZ108" s="73">
        <v>11.32</v>
      </c>
      <c r="CA108" s="60">
        <v>17.37</v>
      </c>
      <c r="CB108" s="60">
        <v>15.63</v>
      </c>
      <c r="CC108" s="60">
        <v>9.94</v>
      </c>
      <c r="CD108" s="65">
        <f t="shared" si="120"/>
        <v>87.809187279151928</v>
      </c>
      <c r="CE108" s="60"/>
      <c r="CF108" s="79">
        <f t="shared" si="137"/>
        <v>140.47</v>
      </c>
      <c r="CG108" s="71">
        <v>9.75</v>
      </c>
      <c r="CH108" s="60">
        <v>15.4</v>
      </c>
      <c r="CI108" s="60">
        <v>13.15</v>
      </c>
      <c r="CJ108" s="60">
        <v>4.92</v>
      </c>
      <c r="CK108" s="59">
        <f t="shared" si="121"/>
        <v>50.46153846153846</v>
      </c>
      <c r="CL108" s="60"/>
      <c r="CM108" s="72">
        <f t="shared" si="122"/>
        <v>70.018875000000008</v>
      </c>
      <c r="CN108" s="81">
        <f t="shared" si="123"/>
        <v>1</v>
      </c>
      <c r="CO108" s="59">
        <f t="shared" si="124"/>
        <v>68.852595000000008</v>
      </c>
      <c r="CP108" s="59">
        <f t="shared" si="125"/>
        <v>1</v>
      </c>
      <c r="CQ108" s="59">
        <f t="shared" si="126"/>
        <v>28.081321999999997</v>
      </c>
      <c r="CR108" s="59">
        <f>IF(AV108&gt;0,'Look Ups'!$L$3,0)</f>
        <v>1</v>
      </c>
      <c r="CS108" s="59">
        <f t="shared" si="138"/>
        <v>0</v>
      </c>
      <c r="CT108" s="59">
        <f t="shared" si="139"/>
        <v>0</v>
      </c>
      <c r="CU108" s="59">
        <f t="shared" si="140"/>
        <v>0</v>
      </c>
      <c r="CV108" s="79">
        <f t="shared" si="141"/>
        <v>0</v>
      </c>
      <c r="CW108" s="82" t="str">
        <f t="shared" si="127"/>
        <v>valid</v>
      </c>
      <c r="CX108" s="65" t="str">
        <f t="shared" si="128"/>
        <v>valid</v>
      </c>
      <c r="CY108" s="66" t="str">
        <f t="shared" si="129"/>
        <v>MGScrSp</v>
      </c>
      <c r="CZ108" s="81">
        <f t="shared" si="130"/>
        <v>96.933917000000008</v>
      </c>
      <c r="DA108" s="59">
        <f t="shared" si="131"/>
        <v>33.716603399999997</v>
      </c>
      <c r="DB108" s="59">
        <f t="shared" si="132"/>
        <v>14.678143550000001</v>
      </c>
      <c r="DC108" s="59">
        <f t="shared" si="133"/>
        <v>33.154660010000001</v>
      </c>
      <c r="DD108" s="59">
        <f t="shared" si="134"/>
        <v>2.3065654150000006</v>
      </c>
      <c r="DE108" s="79">
        <f t="shared" si="135"/>
        <v>101.33721448400001</v>
      </c>
      <c r="DF108" s="83">
        <f t="shared" si="136"/>
        <v>132.39514242499999</v>
      </c>
      <c r="DG108" s="412"/>
    </row>
    <row r="109" spans="1:255" s="287" customFormat="1" ht="16.5" customHeight="1" x14ac:dyDescent="0.25">
      <c r="B109" s="414"/>
      <c r="C109" s="414" t="s">
        <v>1063</v>
      </c>
      <c r="D109" s="48" t="s">
        <v>1052</v>
      </c>
      <c r="E109" s="49" t="s">
        <v>1053</v>
      </c>
      <c r="F109" s="415">
        <f t="shared" si="112"/>
        <v>0.89901057099862225</v>
      </c>
      <c r="G109" s="415" t="str">
        <f t="shared" ca="1" si="113"/>
        <v>Yes</v>
      </c>
      <c r="H109" s="51" t="str">
        <f t="shared" si="114"/>
        <v>Main - Genoa - Screacher - Spinnaker</v>
      </c>
      <c r="I109" s="52">
        <v>42436</v>
      </c>
      <c r="J109" s="52">
        <v>44257</v>
      </c>
      <c r="K109" s="53" t="s">
        <v>275</v>
      </c>
      <c r="L109" s="53" t="s">
        <v>614</v>
      </c>
      <c r="M109" s="54"/>
      <c r="N109" s="55" t="s">
        <v>127</v>
      </c>
      <c r="O109" s="55"/>
      <c r="P109" s="86"/>
      <c r="Q109" s="57">
        <v>12.81</v>
      </c>
      <c r="R109" s="58"/>
      <c r="S109" s="59">
        <f t="shared" si="111"/>
        <v>0.32025000000000003</v>
      </c>
      <c r="T109" s="60">
        <v>0.02</v>
      </c>
      <c r="U109" s="60"/>
      <c r="V109" s="61">
        <f t="shared" si="108"/>
        <v>12.790000000000001</v>
      </c>
      <c r="W109" s="62">
        <f>IF(RL&gt;0,IF(RL&gt;'Look Ups'!R$7,'Look Ups'!R$8,('Look Ups'!R$3*RL^3+'Look Ups'!R$4*RL^2+'Look Ups'!R$5*RL+'Look Ups'!R$6)),0)</f>
        <v>0.3</v>
      </c>
      <c r="X109" s="63">
        <v>5226</v>
      </c>
      <c r="Y109" s="64"/>
      <c r="Z109" s="64"/>
      <c r="AA109" s="64"/>
      <c r="AB109" s="65">
        <f t="shared" si="115"/>
        <v>5226</v>
      </c>
      <c r="AC109" s="66">
        <f t="shared" si="116"/>
        <v>5226</v>
      </c>
      <c r="AD109" s="67" t="s">
        <v>129</v>
      </c>
      <c r="AE109" s="68" t="s">
        <v>130</v>
      </c>
      <c r="AF109" s="69" t="s">
        <v>300</v>
      </c>
      <c r="AG109" s="70">
        <f>IF(C109="",0,VLOOKUP(AD109,'Look Ups'!$B$3:$C$6,2,0)*VLOOKUP(AE109,'Look Ups'!$E$3:$F$5,2,0)*VLOOKUP(AF109,'Look Ups'!$H$3:$I$7,2,0))</f>
        <v>0.995</v>
      </c>
      <c r="AH109" s="71">
        <v>16.82</v>
      </c>
      <c r="AI109" s="60">
        <v>16.43</v>
      </c>
      <c r="AJ109" s="60">
        <v>5.9</v>
      </c>
      <c r="AK109" s="60">
        <v>1.85</v>
      </c>
      <c r="AL109" s="60">
        <v>0.46</v>
      </c>
      <c r="AM109" s="60">
        <v>16.86</v>
      </c>
      <c r="AN109" s="60">
        <v>0.18</v>
      </c>
      <c r="AO109" s="60">
        <v>6</v>
      </c>
      <c r="AP109" s="60">
        <v>0.15</v>
      </c>
      <c r="AQ109" s="60"/>
      <c r="AR109" s="60" t="s">
        <v>132</v>
      </c>
      <c r="AS109" s="75"/>
      <c r="AT109" s="59">
        <f t="shared" si="117"/>
        <v>17.009999999999998</v>
      </c>
      <c r="AU109" s="59">
        <f t="shared" si="118"/>
        <v>0</v>
      </c>
      <c r="AV109" s="72">
        <f>IF(C109="",0,(0.5*(_ML1*LPM)+0.5*(_ML1*HB)+0.66*(P*PR)+0.66*(_ML2*RDM)+0.66*(E*ER))*VLOOKUP(BATT,'Look Ups'!$N$3:$O$4,2,0))</f>
        <v>72.762615999999994</v>
      </c>
      <c r="AW109" s="73"/>
      <c r="AX109" s="74"/>
      <c r="AY109" s="71">
        <v>15.85</v>
      </c>
      <c r="AZ109" s="60">
        <v>5.63</v>
      </c>
      <c r="BA109" s="60">
        <v>6.06</v>
      </c>
      <c r="BB109" s="60">
        <v>0.21</v>
      </c>
      <c r="BC109" s="60">
        <v>14.6</v>
      </c>
      <c r="BD109" s="60"/>
      <c r="BE109" s="60"/>
      <c r="BF109" s="60">
        <v>-0.02</v>
      </c>
      <c r="BG109" s="60">
        <v>-0.09</v>
      </c>
      <c r="BH109" s="75"/>
      <c r="BI109" s="72">
        <f t="shared" si="119"/>
        <v>44.323456</v>
      </c>
      <c r="BJ109" s="76"/>
      <c r="BK109" s="77"/>
      <c r="BL109" s="78"/>
      <c r="BM109" s="78"/>
      <c r="BN109" s="77"/>
      <c r="BO109" s="78"/>
      <c r="BP109" s="78"/>
      <c r="BQ109" s="79">
        <f t="shared" si="109"/>
        <v>0</v>
      </c>
      <c r="BR109" s="80"/>
      <c r="BS109" s="77"/>
      <c r="BT109" s="77"/>
      <c r="BU109" s="77"/>
      <c r="BV109" s="77"/>
      <c r="BW109" s="77"/>
      <c r="BX109" s="77"/>
      <c r="BY109" s="72">
        <f t="shared" si="110"/>
        <v>0</v>
      </c>
      <c r="BZ109" s="73">
        <v>9.6</v>
      </c>
      <c r="CA109" s="60">
        <v>17.77</v>
      </c>
      <c r="CB109" s="60">
        <v>15.05</v>
      </c>
      <c r="CC109" s="60">
        <v>9.5</v>
      </c>
      <c r="CD109" s="65">
        <f t="shared" si="120"/>
        <v>98.958333333333343</v>
      </c>
      <c r="CE109" s="60"/>
      <c r="CF109" s="79">
        <f t="shared" si="137"/>
        <v>130.18600000000001</v>
      </c>
      <c r="CG109" s="71">
        <v>9.99</v>
      </c>
      <c r="CH109" s="60">
        <v>16.48</v>
      </c>
      <c r="CI109" s="60">
        <v>15.25</v>
      </c>
      <c r="CJ109" s="60">
        <v>5.07</v>
      </c>
      <c r="CK109" s="59">
        <f t="shared" si="121"/>
        <v>50.750750750750754</v>
      </c>
      <c r="CL109" s="60"/>
      <c r="CM109" s="72">
        <f t="shared" si="122"/>
        <v>80.038925000000006</v>
      </c>
      <c r="CN109" s="81">
        <f t="shared" si="123"/>
        <v>1</v>
      </c>
      <c r="CO109" s="59">
        <f t="shared" si="124"/>
        <v>72.762615999999994</v>
      </c>
      <c r="CP109" s="59">
        <f t="shared" si="125"/>
        <v>1</v>
      </c>
      <c r="CQ109" s="59">
        <f t="shared" si="126"/>
        <v>44.323456</v>
      </c>
      <c r="CR109" s="59">
        <f>IF(AV109&gt;0,'Look Ups'!$L$3,0)</f>
        <v>1</v>
      </c>
      <c r="CS109" s="59">
        <f t="shared" si="138"/>
        <v>0</v>
      </c>
      <c r="CT109" s="59">
        <f t="shared" si="139"/>
        <v>0</v>
      </c>
      <c r="CU109" s="59">
        <f t="shared" si="140"/>
        <v>0</v>
      </c>
      <c r="CV109" s="79">
        <f t="shared" si="141"/>
        <v>0</v>
      </c>
      <c r="CW109" s="82" t="str">
        <f t="shared" si="127"/>
        <v>valid</v>
      </c>
      <c r="CX109" s="65" t="str">
        <f t="shared" si="128"/>
        <v>valid</v>
      </c>
      <c r="CY109" s="66" t="str">
        <f t="shared" si="129"/>
        <v>MGScrSp</v>
      </c>
      <c r="CZ109" s="81">
        <f t="shared" si="130"/>
        <v>117.086072</v>
      </c>
      <c r="DA109" s="59">
        <f t="shared" si="131"/>
        <v>25.758763200000004</v>
      </c>
      <c r="DB109" s="59">
        <f t="shared" si="132"/>
        <v>12.500414150000001</v>
      </c>
      <c r="DC109" s="59">
        <f t="shared" si="133"/>
        <v>25.329450480000002</v>
      </c>
      <c r="DD109" s="59">
        <f t="shared" si="134"/>
        <v>1.9643507950000003</v>
      </c>
      <c r="DE109" s="79">
        <f t="shared" si="135"/>
        <v>120.15750128000001</v>
      </c>
      <c r="DF109" s="83">
        <f t="shared" si="136"/>
        <v>144.37987327499999</v>
      </c>
      <c r="DG109" s="412"/>
      <c r="DH109" s="286"/>
      <c r="DI109" s="286"/>
      <c r="DJ109" s="286"/>
      <c r="DK109" s="286"/>
      <c r="DL109" s="286"/>
      <c r="DM109" s="286"/>
      <c r="DN109" s="286"/>
      <c r="DO109" s="286"/>
      <c r="DP109" s="286"/>
      <c r="DQ109" s="286"/>
      <c r="DR109" s="286"/>
      <c r="DS109" s="286"/>
      <c r="DT109" s="286"/>
      <c r="DU109" s="286"/>
      <c r="DV109" s="286"/>
      <c r="DW109" s="286"/>
      <c r="DX109" s="286"/>
      <c r="DY109" s="286"/>
      <c r="DZ109" s="286"/>
      <c r="EA109" s="286"/>
      <c r="EB109" s="286"/>
      <c r="EC109" s="286"/>
      <c r="ED109" s="286"/>
      <c r="EE109" s="286"/>
      <c r="EF109" s="286"/>
      <c r="EG109" s="286"/>
      <c r="EH109" s="286"/>
      <c r="EI109" s="286"/>
      <c r="EJ109" s="286"/>
      <c r="EK109" s="286"/>
      <c r="EL109" s="286"/>
      <c r="EM109" s="286"/>
      <c r="EN109" s="286"/>
      <c r="EO109" s="286"/>
      <c r="EP109" s="286"/>
      <c r="EQ109" s="286"/>
      <c r="ER109" s="286"/>
      <c r="ES109" s="286"/>
      <c r="ET109" s="286"/>
      <c r="EU109" s="286"/>
      <c r="EV109" s="286"/>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row>
    <row r="110" spans="1:255" ht="16.5" customHeight="1" x14ac:dyDescent="0.25">
      <c r="B110" s="418"/>
      <c r="C110" s="414" t="s">
        <v>461</v>
      </c>
      <c r="D110" s="84" t="s">
        <v>210</v>
      </c>
      <c r="E110" s="49" t="s">
        <v>462</v>
      </c>
      <c r="F110" s="415">
        <f t="shared" si="112"/>
        <v>0.87130728855526218</v>
      </c>
      <c r="G110" s="415" t="str">
        <f t="shared" ca="1" si="113"/>
        <v>No</v>
      </c>
      <c r="H110" s="51" t="str">
        <f t="shared" si="114"/>
        <v>Main - Genoa - Spinnaker</v>
      </c>
      <c r="I110" s="52">
        <v>40019</v>
      </c>
      <c r="J110" s="52">
        <v>43870</v>
      </c>
      <c r="K110" s="53" t="s">
        <v>1002</v>
      </c>
      <c r="L110" s="53" t="s">
        <v>299</v>
      </c>
      <c r="M110" s="54"/>
      <c r="N110" s="55" t="s">
        <v>127</v>
      </c>
      <c r="O110" s="55" t="s">
        <v>128</v>
      </c>
      <c r="P110" s="85"/>
      <c r="Q110" s="57">
        <v>9.42</v>
      </c>
      <c r="R110" s="58"/>
      <c r="S110" s="59">
        <f t="shared" si="111"/>
        <v>0.23550000000000001</v>
      </c>
      <c r="T110" s="60">
        <v>0.05</v>
      </c>
      <c r="U110" s="60">
        <v>0</v>
      </c>
      <c r="V110" s="61">
        <f t="shared" si="108"/>
        <v>9.3699999999999992</v>
      </c>
      <c r="W110" s="62">
        <f>IF(RL&gt;0,IF(RL&gt;'Look Ups'!R$7,'Look Ups'!R$8,('Look Ups'!R$3*RL^3+'Look Ups'!R$4*RL^2+'Look Ups'!R$5*RL+'Look Ups'!R$6)),0)</f>
        <v>0.29744701944900004</v>
      </c>
      <c r="X110" s="63">
        <v>2050</v>
      </c>
      <c r="Y110" s="64"/>
      <c r="Z110" s="64"/>
      <c r="AA110" s="64"/>
      <c r="AB110" s="65">
        <f t="shared" si="115"/>
        <v>2050</v>
      </c>
      <c r="AC110" s="66">
        <f t="shared" si="116"/>
        <v>2050</v>
      </c>
      <c r="AD110" s="67" t="s">
        <v>129</v>
      </c>
      <c r="AE110" s="68" t="s">
        <v>130</v>
      </c>
      <c r="AF110" s="69" t="s">
        <v>131</v>
      </c>
      <c r="AG110" s="70">
        <f>IF(C110="",0,VLOOKUP(AD110,'Look Ups'!$B$3:$C$6,2,0)*VLOOKUP(AE110,'Look Ups'!$E$3:$F$5,2,0)*VLOOKUP(AF110,'Look Ups'!$H$3:$I$7,2,0))</f>
        <v>1</v>
      </c>
      <c r="AH110" s="71">
        <v>11.71</v>
      </c>
      <c r="AI110" s="60">
        <v>11.33</v>
      </c>
      <c r="AJ110" s="60">
        <v>4.07</v>
      </c>
      <c r="AK110" s="60">
        <v>1.31</v>
      </c>
      <c r="AL110" s="60">
        <v>0.44</v>
      </c>
      <c r="AM110" s="60">
        <v>11.085000000000001</v>
      </c>
      <c r="AN110" s="60">
        <v>7.0000000000000007E-2</v>
      </c>
      <c r="AO110" s="60">
        <v>4.29</v>
      </c>
      <c r="AP110" s="60">
        <v>0</v>
      </c>
      <c r="AQ110" s="60">
        <v>0</v>
      </c>
      <c r="AR110" s="60" t="s">
        <v>132</v>
      </c>
      <c r="AS110" s="75" t="s">
        <v>1005</v>
      </c>
      <c r="AT110" s="59">
        <f t="shared" si="117"/>
        <v>11.085000000000001</v>
      </c>
      <c r="AU110" s="59">
        <f t="shared" si="118"/>
        <v>0</v>
      </c>
      <c r="AV110" s="72">
        <f>IF(C110="",0,(0.5*(_ML1*LPM)+0.5*(_ML1*HB)+0.66*(P*PR)+0.66*(_ML2*RDM)+0.66*(E*ER))*VLOOKUP(BATT,'Look Ups'!$N$3:$O$4,2,0))</f>
        <v>35.302259000000006</v>
      </c>
      <c r="AW110" s="73"/>
      <c r="AX110" s="74"/>
      <c r="AY110" s="71">
        <v>10.74</v>
      </c>
      <c r="AZ110" s="60">
        <v>4.49</v>
      </c>
      <c r="BA110" s="60">
        <v>4.95</v>
      </c>
      <c r="BB110" s="60">
        <v>1.4999999999999999E-2</v>
      </c>
      <c r="BC110" s="60">
        <v>9.6300000000000008</v>
      </c>
      <c r="BD110" s="60"/>
      <c r="BE110" s="60"/>
      <c r="BF110" s="60">
        <v>-0.16500000000000001</v>
      </c>
      <c r="BG110" s="60">
        <v>0.03</v>
      </c>
      <c r="BH110" s="75" t="s">
        <v>1006</v>
      </c>
      <c r="BI110" s="72">
        <f t="shared" si="119"/>
        <v>23.324249999999999</v>
      </c>
      <c r="BJ110" s="76"/>
      <c r="BK110" s="77"/>
      <c r="BL110" s="78"/>
      <c r="BM110" s="78"/>
      <c r="BN110" s="77"/>
      <c r="BO110" s="78"/>
      <c r="BP110" s="78"/>
      <c r="BQ110" s="79">
        <f t="shared" si="109"/>
        <v>0</v>
      </c>
      <c r="BR110" s="80"/>
      <c r="BS110" s="77"/>
      <c r="BT110" s="77"/>
      <c r="BU110" s="77"/>
      <c r="BV110" s="77"/>
      <c r="BW110" s="77"/>
      <c r="BX110" s="77"/>
      <c r="BY110" s="72">
        <f t="shared" si="110"/>
        <v>0</v>
      </c>
      <c r="BZ110" s="73">
        <v>8.3699999999999992</v>
      </c>
      <c r="CA110" s="60">
        <v>13.8</v>
      </c>
      <c r="CB110" s="60">
        <v>12.45</v>
      </c>
      <c r="CC110" s="60">
        <v>8.32</v>
      </c>
      <c r="CD110" s="65">
        <f t="shared" si="120"/>
        <v>99.402628434886509</v>
      </c>
      <c r="CE110" s="60" t="s">
        <v>1014</v>
      </c>
      <c r="CF110" s="79">
        <f t="shared" si="137"/>
        <v>91.109375</v>
      </c>
      <c r="CG110" s="71"/>
      <c r="CH110" s="60"/>
      <c r="CI110" s="60"/>
      <c r="CJ110" s="60"/>
      <c r="CK110" s="59" t="str">
        <f t="shared" si="121"/>
        <v/>
      </c>
      <c r="CL110" s="75"/>
      <c r="CM110" s="72">
        <f t="shared" si="122"/>
        <v>0</v>
      </c>
      <c r="CN110" s="81">
        <f t="shared" si="123"/>
        <v>1</v>
      </c>
      <c r="CO110" s="59">
        <f t="shared" si="124"/>
        <v>35.302259000000006</v>
      </c>
      <c r="CP110" s="59">
        <f t="shared" si="125"/>
        <v>1</v>
      </c>
      <c r="CQ110" s="59">
        <f t="shared" si="126"/>
        <v>23.324249999999999</v>
      </c>
      <c r="CR110" s="59">
        <f>IF(AV110&gt;0,'Look Ups'!$L$3,0)</f>
        <v>1</v>
      </c>
      <c r="CS110" s="59">
        <f t="shared" si="138"/>
        <v>0</v>
      </c>
      <c r="CT110" s="59">
        <f t="shared" si="139"/>
        <v>0</v>
      </c>
      <c r="CU110" s="59">
        <f t="shared" si="140"/>
        <v>0</v>
      </c>
      <c r="CV110" s="79">
        <f t="shared" si="141"/>
        <v>0</v>
      </c>
      <c r="CW110" s="82" t="str">
        <f t="shared" si="127"/>
        <v>-</v>
      </c>
      <c r="CX110" s="65" t="str">
        <f t="shared" si="128"/>
        <v>valid</v>
      </c>
      <c r="CY110" s="66" t="str">
        <f t="shared" si="129"/>
        <v>MGSp</v>
      </c>
      <c r="CZ110" s="81">
        <f t="shared" si="130"/>
        <v>58.626509000000006</v>
      </c>
      <c r="DA110" s="59">
        <f t="shared" si="131"/>
        <v>20.335537499999997</v>
      </c>
      <c r="DB110" s="59">
        <f t="shared" si="132"/>
        <v>0</v>
      </c>
      <c r="DC110" s="59">
        <f t="shared" si="133"/>
        <v>19.996611874999996</v>
      </c>
      <c r="DD110" s="59">
        <f t="shared" si="134"/>
        <v>0</v>
      </c>
      <c r="DE110" s="79">
        <f t="shared" si="135"/>
        <v>59.920133972000009</v>
      </c>
      <c r="DF110" s="83">
        <f t="shared" si="136"/>
        <v>78.9620465</v>
      </c>
      <c r="DG110" s="412"/>
    </row>
    <row r="111" spans="1:255" ht="16.5" customHeight="1" x14ac:dyDescent="0.25">
      <c r="B111" s="414"/>
      <c r="C111" s="414" t="s">
        <v>466</v>
      </c>
      <c r="D111" s="48" t="s">
        <v>467</v>
      </c>
      <c r="E111" s="49" t="s">
        <v>953</v>
      </c>
      <c r="F111" s="415">
        <f t="shared" si="112"/>
        <v>0.87668894574239953</v>
      </c>
      <c r="G111" s="415" t="str">
        <f t="shared" ca="1" si="113"/>
        <v>Yes</v>
      </c>
      <c r="H111" s="51" t="str">
        <f t="shared" si="114"/>
        <v>Main - Genoa - Screacher - Spinnaker</v>
      </c>
      <c r="I111" s="52">
        <v>42068</v>
      </c>
      <c r="J111" s="52">
        <v>43475</v>
      </c>
      <c r="K111" s="53" t="s">
        <v>468</v>
      </c>
      <c r="L111" s="53" t="s">
        <v>841</v>
      </c>
      <c r="M111" s="54"/>
      <c r="N111" s="55" t="s">
        <v>127</v>
      </c>
      <c r="O111" s="55" t="s">
        <v>138</v>
      </c>
      <c r="P111" s="56"/>
      <c r="Q111" s="57">
        <v>6.95</v>
      </c>
      <c r="R111" s="58">
        <v>6.9550000000000001</v>
      </c>
      <c r="S111" s="59">
        <f t="shared" si="111"/>
        <v>0.173875</v>
      </c>
      <c r="T111" s="60">
        <v>0</v>
      </c>
      <c r="U111" s="60">
        <v>0</v>
      </c>
      <c r="V111" s="61">
        <f t="shared" si="108"/>
        <v>6.9550000000000001</v>
      </c>
      <c r="W111" s="62">
        <f>IF(RL&gt;0,IF(RL&gt;'Look Ups'!R$7,'Look Ups'!R$8,('Look Ups'!R$3*RL^3+'Look Ups'!R$4*RL^2+'Look Ups'!R$5*RL+'Look Ups'!R$6)),0)</f>
        <v>0.289503770317875</v>
      </c>
      <c r="X111" s="63">
        <v>820</v>
      </c>
      <c r="Y111" s="64"/>
      <c r="Z111" s="64"/>
      <c r="AA111" s="64"/>
      <c r="AB111" s="65">
        <f t="shared" si="115"/>
        <v>820</v>
      </c>
      <c r="AC111" s="66">
        <f t="shared" si="116"/>
        <v>820</v>
      </c>
      <c r="AD111" s="67" t="s">
        <v>129</v>
      </c>
      <c r="AE111" s="68" t="s">
        <v>130</v>
      </c>
      <c r="AF111" s="69" t="s">
        <v>131</v>
      </c>
      <c r="AG111" s="70">
        <f>IF(C111="",0,VLOOKUP(AD111,'Look Ups'!$B$3:$C$6,2,0)*VLOOKUP(AE111,'Look Ups'!$E$3:$F$5,2,0)*VLOOKUP(AF111,'Look Ups'!$H$3:$I$7,2,0))</f>
        <v>1</v>
      </c>
      <c r="AH111" s="71">
        <v>11.9</v>
      </c>
      <c r="AI111" s="60">
        <v>11.78</v>
      </c>
      <c r="AJ111" s="60">
        <v>2.67</v>
      </c>
      <c r="AK111" s="60">
        <v>1.08</v>
      </c>
      <c r="AL111" s="60">
        <v>0.35</v>
      </c>
      <c r="AM111" s="60">
        <v>11.33</v>
      </c>
      <c r="AN111" s="60">
        <v>0.11</v>
      </c>
      <c r="AO111" s="60">
        <v>2.8</v>
      </c>
      <c r="AP111" s="60">
        <v>3.5000000000000003E-2</v>
      </c>
      <c r="AQ111" s="60">
        <v>0.65</v>
      </c>
      <c r="AR111" s="60" t="s">
        <v>132</v>
      </c>
      <c r="AS111" s="75">
        <v>1</v>
      </c>
      <c r="AT111" s="59">
        <f t="shared" si="117"/>
        <v>11.365</v>
      </c>
      <c r="AU111" s="59">
        <f t="shared" si="118"/>
        <v>2.7616875000000003</v>
      </c>
      <c r="AV111" s="72">
        <f>IF(C111="",0,(0.5*(_ML1*LPM)+0.5*(_ML1*HB)+0.66*(P*PR)+0.66*(_ML2*RDM)+0.66*(E*ER))*VLOOKUP(BATT,'Look Ups'!$N$3:$O$4,2,0))</f>
        <v>25.920918</v>
      </c>
      <c r="AW111" s="73"/>
      <c r="AX111" s="74"/>
      <c r="AY111" s="71">
        <v>8.52</v>
      </c>
      <c r="AZ111" s="60">
        <v>2.21</v>
      </c>
      <c r="BA111" s="60">
        <v>2.4900000000000002</v>
      </c>
      <c r="BB111" s="60">
        <v>0.09</v>
      </c>
      <c r="BC111" s="60">
        <v>7.7</v>
      </c>
      <c r="BD111" s="60"/>
      <c r="BE111" s="60">
        <v>0.1</v>
      </c>
      <c r="BF111" s="60">
        <v>0</v>
      </c>
      <c r="BG111" s="60">
        <v>-1.4999999999999999E-2</v>
      </c>
      <c r="BH111" s="75"/>
      <c r="BI111" s="72">
        <f t="shared" si="119"/>
        <v>9.8631580000000003</v>
      </c>
      <c r="BJ111" s="76"/>
      <c r="BK111" s="77"/>
      <c r="BL111" s="78"/>
      <c r="BM111" s="78"/>
      <c r="BN111" s="77"/>
      <c r="BO111" s="78"/>
      <c r="BP111" s="78"/>
      <c r="BQ111" s="79">
        <f t="shared" si="109"/>
        <v>0</v>
      </c>
      <c r="BR111" s="80"/>
      <c r="BS111" s="77"/>
      <c r="BT111" s="77"/>
      <c r="BU111" s="77"/>
      <c r="BV111" s="77"/>
      <c r="BW111" s="77"/>
      <c r="BX111" s="77"/>
      <c r="BY111" s="72">
        <f t="shared" si="110"/>
        <v>0</v>
      </c>
      <c r="BZ111" s="73">
        <v>6.4</v>
      </c>
      <c r="CA111" s="60">
        <v>11.22</v>
      </c>
      <c r="CB111" s="60">
        <v>9.1999999999999993</v>
      </c>
      <c r="CC111" s="60">
        <v>4.9400000000000004</v>
      </c>
      <c r="CD111" s="65">
        <f t="shared" si="120"/>
        <v>77.1875</v>
      </c>
      <c r="CE111" s="60">
        <v>0</v>
      </c>
      <c r="CF111" s="79">
        <f t="shared" si="137"/>
        <v>44.515600000000006</v>
      </c>
      <c r="CG111" s="80">
        <v>4.55</v>
      </c>
      <c r="CH111" s="77">
        <v>9.9</v>
      </c>
      <c r="CI111" s="77">
        <v>8.6300000000000008</v>
      </c>
      <c r="CJ111" s="77">
        <v>2.33</v>
      </c>
      <c r="CK111" s="59">
        <f t="shared" si="121"/>
        <v>51.208791208791219</v>
      </c>
      <c r="CL111" s="60">
        <v>0</v>
      </c>
      <c r="CM111" s="72">
        <f t="shared" si="122"/>
        <v>21.417591666666667</v>
      </c>
      <c r="CN111" s="81">
        <f t="shared" si="123"/>
        <v>1</v>
      </c>
      <c r="CO111" s="59">
        <f t="shared" si="124"/>
        <v>28.682605500000001</v>
      </c>
      <c r="CP111" s="59">
        <f t="shared" si="125"/>
        <v>1</v>
      </c>
      <c r="CQ111" s="59">
        <f t="shared" si="126"/>
        <v>9.8631580000000003</v>
      </c>
      <c r="CR111" s="59">
        <f>IF(AV111&gt;0,'Look Ups'!$L$3,0)</f>
        <v>1</v>
      </c>
      <c r="CS111" s="59">
        <f t="shared" si="138"/>
        <v>0</v>
      </c>
      <c r="CT111" s="59">
        <f t="shared" si="139"/>
        <v>0</v>
      </c>
      <c r="CU111" s="59">
        <f t="shared" si="140"/>
        <v>0</v>
      </c>
      <c r="CV111" s="79">
        <f t="shared" si="141"/>
        <v>0</v>
      </c>
      <c r="CW111" s="82" t="str">
        <f t="shared" si="127"/>
        <v>valid</v>
      </c>
      <c r="CX111" s="65" t="str">
        <f t="shared" si="128"/>
        <v>valid</v>
      </c>
      <c r="CY111" s="66" t="str">
        <f t="shared" si="129"/>
        <v>MGScrSp</v>
      </c>
      <c r="CZ111" s="81">
        <f t="shared" si="130"/>
        <v>38.5457635</v>
      </c>
      <c r="DA111" s="59">
        <f t="shared" si="131"/>
        <v>10.395732600000002</v>
      </c>
      <c r="DB111" s="59">
        <f t="shared" si="132"/>
        <v>4.0440517833333329</v>
      </c>
      <c r="DC111" s="59">
        <f t="shared" si="133"/>
        <v>10.222470390000002</v>
      </c>
      <c r="DD111" s="59">
        <f t="shared" si="134"/>
        <v>0.63549385166666661</v>
      </c>
      <c r="DE111" s="79">
        <f t="shared" si="135"/>
        <v>40.578263829999997</v>
      </c>
      <c r="DF111" s="83">
        <f t="shared" si="136"/>
        <v>49.403727741666671</v>
      </c>
      <c r="DG111" s="412"/>
    </row>
    <row r="112" spans="1:255" ht="16.5" customHeight="1" x14ac:dyDescent="0.25">
      <c r="B112" s="414"/>
      <c r="C112" s="418" t="s">
        <v>986</v>
      </c>
      <c r="D112" s="169" t="s">
        <v>420</v>
      </c>
      <c r="E112" s="170" t="s">
        <v>987</v>
      </c>
      <c r="F112" s="415">
        <f t="shared" si="112"/>
        <v>0.98963109751510825</v>
      </c>
      <c r="G112" s="415" t="str">
        <f t="shared" ca="1" si="113"/>
        <v>Yes</v>
      </c>
      <c r="H112" s="51" t="str">
        <f t="shared" si="114"/>
        <v>Main - Genoa - Screacher - Spinnaker</v>
      </c>
      <c r="I112" s="171">
        <v>43684</v>
      </c>
      <c r="J112" s="171">
        <v>44049</v>
      </c>
      <c r="K112" s="172" t="s">
        <v>904</v>
      </c>
      <c r="L112" s="172" t="s">
        <v>614</v>
      </c>
      <c r="M112" s="171"/>
      <c r="N112" s="173" t="s">
        <v>127</v>
      </c>
      <c r="O112" s="173" t="s">
        <v>138</v>
      </c>
      <c r="P112" s="186"/>
      <c r="Q112" s="175">
        <v>8.07</v>
      </c>
      <c r="R112" s="78"/>
      <c r="S112" s="59">
        <f t="shared" si="111"/>
        <v>0.20175000000000001</v>
      </c>
      <c r="T112" s="176"/>
      <c r="U112" s="176">
        <v>0</v>
      </c>
      <c r="V112" s="61">
        <f t="shared" si="108"/>
        <v>8.07</v>
      </c>
      <c r="W112" s="62">
        <f>IF(RL&gt;0,IF(RL&gt;'Look Ups'!R$7,'Look Ups'!R$8,('Look Ups'!R$3*RL^3+'Look Ups'!R$4*RL^2+'Look Ups'!R$5*RL+'Look Ups'!R$6)),0)</f>
        <v>0.29403355211900001</v>
      </c>
      <c r="X112" s="177">
        <v>920</v>
      </c>
      <c r="Y112" s="178"/>
      <c r="Z112" s="178"/>
      <c r="AA112" s="178"/>
      <c r="AB112" s="65">
        <f t="shared" si="115"/>
        <v>920</v>
      </c>
      <c r="AC112" s="66">
        <f t="shared" si="116"/>
        <v>920</v>
      </c>
      <c r="AD112" s="179" t="s">
        <v>129</v>
      </c>
      <c r="AE112" s="180" t="s">
        <v>130</v>
      </c>
      <c r="AF112" s="181" t="s">
        <v>131</v>
      </c>
      <c r="AG112" s="70">
        <f>IF(C112="",0,VLOOKUP(AD112,'Look Ups'!$B$3:$C$6,2,0)*VLOOKUP(AE112,'Look Ups'!$E$3:$F$5,2,0)*VLOOKUP(AF112,'Look Ups'!$H$3:$I$7,2,0))</f>
        <v>1</v>
      </c>
      <c r="AH112" s="80">
        <v>11.17</v>
      </c>
      <c r="AI112" s="77">
        <v>10.89</v>
      </c>
      <c r="AJ112" s="77">
        <v>2.88</v>
      </c>
      <c r="AK112" s="77">
        <v>1.24</v>
      </c>
      <c r="AL112" s="77">
        <v>0.38300000000000001</v>
      </c>
      <c r="AM112" s="77">
        <v>10.83</v>
      </c>
      <c r="AN112" s="77">
        <v>0.05</v>
      </c>
      <c r="AO112" s="77">
        <v>2.97</v>
      </c>
      <c r="AP112" s="77">
        <v>0.11</v>
      </c>
      <c r="AQ112" s="77"/>
      <c r="AR112" s="77" t="s">
        <v>132</v>
      </c>
      <c r="AS112" s="87"/>
      <c r="AT112" s="59">
        <f t="shared" si="117"/>
        <v>10.94</v>
      </c>
      <c r="AU112" s="59">
        <f t="shared" si="118"/>
        <v>0</v>
      </c>
      <c r="AV112" s="72">
        <f>IF(C112="",0,(0.5*(_ML1*LPM)+0.5*(_ML1*HB)+0.66*(P*PR)+0.66*(_ML2*RDM)+0.66*(E*ER))*VLOOKUP(BATT,'Look Ups'!$N$3:$O$4,2,0))</f>
        <v>26.335986199999997</v>
      </c>
      <c r="AW112" s="182"/>
      <c r="AX112" s="183"/>
      <c r="AY112" s="80">
        <v>10.24</v>
      </c>
      <c r="AZ112" s="77">
        <v>3.83</v>
      </c>
      <c r="BA112" s="77">
        <v>4.08</v>
      </c>
      <c r="BB112" s="77">
        <v>0.18</v>
      </c>
      <c r="BC112" s="77">
        <v>9.48</v>
      </c>
      <c r="BD112" s="77"/>
      <c r="BE112" s="77"/>
      <c r="BF112" s="77">
        <v>-7.0000000000000007E-2</v>
      </c>
      <c r="BG112" s="77"/>
      <c r="BH112" s="87"/>
      <c r="BI112" s="72">
        <f t="shared" si="119"/>
        <v>19.656328000000002</v>
      </c>
      <c r="BJ112" s="76"/>
      <c r="BK112" s="77"/>
      <c r="BL112" s="78"/>
      <c r="BM112" s="78"/>
      <c r="BN112" s="77"/>
      <c r="BO112" s="78"/>
      <c r="BP112" s="78"/>
      <c r="BQ112" s="79">
        <f t="shared" si="109"/>
        <v>0</v>
      </c>
      <c r="BR112" s="80"/>
      <c r="BS112" s="77"/>
      <c r="BT112" s="77"/>
      <c r="BU112" s="77"/>
      <c r="BV112" s="77"/>
      <c r="BW112" s="77"/>
      <c r="BX112" s="77"/>
      <c r="BY112" s="72">
        <f t="shared" si="110"/>
        <v>0</v>
      </c>
      <c r="BZ112" s="182">
        <v>8.02</v>
      </c>
      <c r="CA112" s="77">
        <v>13.96</v>
      </c>
      <c r="CB112" s="77">
        <v>11.28</v>
      </c>
      <c r="CC112" s="77">
        <v>7.52</v>
      </c>
      <c r="CD112" s="65">
        <f t="shared" si="120"/>
        <v>93.765586034912715</v>
      </c>
      <c r="CE112" s="77"/>
      <c r="CF112" s="79">
        <f t="shared" si="137"/>
        <v>80.137</v>
      </c>
      <c r="CG112" s="80">
        <v>6.48</v>
      </c>
      <c r="CH112" s="77">
        <v>9.82</v>
      </c>
      <c r="CI112" s="77">
        <v>8.32</v>
      </c>
      <c r="CJ112" s="77">
        <v>3.35</v>
      </c>
      <c r="CK112" s="59">
        <f t="shared" si="121"/>
        <v>51.697530864197525</v>
      </c>
      <c r="CL112" s="77"/>
      <c r="CM112" s="72">
        <f t="shared" si="122"/>
        <v>30.051933333333338</v>
      </c>
      <c r="CN112" s="81">
        <f t="shared" si="123"/>
        <v>1</v>
      </c>
      <c r="CO112" s="59">
        <f t="shared" si="124"/>
        <v>26.335986199999997</v>
      </c>
      <c r="CP112" s="59">
        <f t="shared" si="125"/>
        <v>1</v>
      </c>
      <c r="CQ112" s="59">
        <f t="shared" si="126"/>
        <v>19.656328000000002</v>
      </c>
      <c r="CR112" s="59">
        <f>IF(AV112&gt;0,'Look Ups'!$L$3,0)</f>
        <v>1</v>
      </c>
      <c r="CS112" s="59">
        <f t="shared" si="138"/>
        <v>0</v>
      </c>
      <c r="CT112" s="59">
        <f t="shared" si="139"/>
        <v>0</v>
      </c>
      <c r="CU112" s="59">
        <f t="shared" si="140"/>
        <v>0</v>
      </c>
      <c r="CV112" s="79">
        <f t="shared" si="141"/>
        <v>0</v>
      </c>
      <c r="CW112" s="82" t="str">
        <f t="shared" si="127"/>
        <v>valid</v>
      </c>
      <c r="CX112" s="65" t="str">
        <f t="shared" si="128"/>
        <v>valid</v>
      </c>
      <c r="CY112" s="66" t="str">
        <f t="shared" si="129"/>
        <v>MGScrSp</v>
      </c>
      <c r="CZ112" s="81">
        <f t="shared" si="130"/>
        <v>45.992314199999996</v>
      </c>
      <c r="DA112" s="59">
        <f t="shared" si="131"/>
        <v>18.144201599999999</v>
      </c>
      <c r="DB112" s="59">
        <f t="shared" si="132"/>
        <v>3.6384618666666673</v>
      </c>
      <c r="DC112" s="59">
        <f t="shared" si="133"/>
        <v>17.841798239999999</v>
      </c>
      <c r="DD112" s="59">
        <f t="shared" si="134"/>
        <v>0.5717582933333335</v>
      </c>
      <c r="DE112" s="79">
        <f t="shared" si="135"/>
        <v>46.713717285599998</v>
      </c>
      <c r="DF112" s="83">
        <f t="shared" si="136"/>
        <v>64.40587073333333</v>
      </c>
      <c r="DG112" s="412"/>
    </row>
    <row r="113" spans="2:255" ht="16.5" customHeight="1" x14ac:dyDescent="0.25">
      <c r="B113" s="416"/>
      <c r="C113" s="414" t="s">
        <v>1093</v>
      </c>
      <c r="D113" s="48" t="s">
        <v>238</v>
      </c>
      <c r="E113" s="49" t="s">
        <v>1094</v>
      </c>
      <c r="F113" s="415">
        <f t="shared" si="112"/>
        <v>0.85894005023474973</v>
      </c>
      <c r="G113" s="415" t="str">
        <f t="shared" ca="1" si="113"/>
        <v>Yes</v>
      </c>
      <c r="H113" s="51" t="str">
        <f t="shared" si="114"/>
        <v>Main - Genoa - Screacher - Spinnaker</v>
      </c>
      <c r="I113" s="52">
        <v>44777</v>
      </c>
      <c r="J113" s="52">
        <v>44958</v>
      </c>
      <c r="K113" s="53" t="s">
        <v>1117</v>
      </c>
      <c r="L113" s="53" t="s">
        <v>614</v>
      </c>
      <c r="M113" s="54"/>
      <c r="N113" s="55" t="s">
        <v>127</v>
      </c>
      <c r="O113" s="55" t="s">
        <v>128</v>
      </c>
      <c r="P113" s="56"/>
      <c r="Q113" s="57">
        <v>9.4499999999999993</v>
      </c>
      <c r="R113" s="58"/>
      <c r="S113" s="59">
        <f t="shared" si="111"/>
        <v>0.23624999999999999</v>
      </c>
      <c r="T113" s="60">
        <v>0</v>
      </c>
      <c r="U113" s="60">
        <v>0</v>
      </c>
      <c r="V113" s="61">
        <f t="shared" si="108"/>
        <v>9.4499999999999993</v>
      </c>
      <c r="W113" s="62">
        <f>IF(RL&gt;0,IF(RL&gt;'Look Ups'!R$7,'Look Ups'!R$8,('Look Ups'!R$3*RL^3+'Look Ups'!R$4*RL^2+'Look Ups'!R$5*RL+'Look Ups'!R$6)),0)</f>
        <v>0.29760048462499999</v>
      </c>
      <c r="X113" s="63">
        <v>1942</v>
      </c>
      <c r="Y113" s="64"/>
      <c r="Z113" s="64">
        <v>342</v>
      </c>
      <c r="AA113" s="64">
        <v>4</v>
      </c>
      <c r="AB113" s="65">
        <f t="shared" si="115"/>
        <v>1942</v>
      </c>
      <c r="AC113" s="66">
        <f t="shared" si="116"/>
        <v>2300</v>
      </c>
      <c r="AD113" s="67" t="s">
        <v>129</v>
      </c>
      <c r="AE113" s="68" t="s">
        <v>130</v>
      </c>
      <c r="AF113" s="69" t="s">
        <v>131</v>
      </c>
      <c r="AG113" s="70">
        <f>IF(C113="",0,VLOOKUP(AD113,'Look Ups'!$B$3:$C$6,2,0)*VLOOKUP(AE113,'Look Ups'!$E$3:$F$5,2,0)*VLOOKUP(AF113,'Look Ups'!$H$3:$I$7,2,0))</f>
        <v>1</v>
      </c>
      <c r="AH113" s="71">
        <v>12.71</v>
      </c>
      <c r="AI113" s="60">
        <v>12.38</v>
      </c>
      <c r="AJ113" s="60">
        <v>4.6379999999999999</v>
      </c>
      <c r="AK113" s="60">
        <v>1.0349999999999999</v>
      </c>
      <c r="AL113" s="60">
        <v>0.48599999999999999</v>
      </c>
      <c r="AM113" s="60">
        <v>12.13</v>
      </c>
      <c r="AN113" s="60">
        <v>5.0500000000000003E-2</v>
      </c>
      <c r="AO113" s="60">
        <v>4.8499999999999996</v>
      </c>
      <c r="AP113" s="60">
        <v>1.7999999999999999E-2</v>
      </c>
      <c r="AQ113" s="60">
        <v>0.6</v>
      </c>
      <c r="AR113" s="60" t="s">
        <v>132</v>
      </c>
      <c r="AS113" s="75"/>
      <c r="AT113" s="59">
        <f t="shared" si="117"/>
        <v>12.148000000000001</v>
      </c>
      <c r="AU113" s="59">
        <f t="shared" si="118"/>
        <v>2.72925</v>
      </c>
      <c r="AV113" s="72">
        <f>IF(C113="",0,(0.5*(_ML1*LPM)+0.5*(_ML1*HB)+0.66*(P*PR)+0.66*(_ML2*RDM)+0.66*(E*ER))*VLOOKUP(BATT,'Look Ups'!$N$3:$O$4,2,0))</f>
        <v>40.4848347</v>
      </c>
      <c r="AW113" s="73"/>
      <c r="AX113" s="74"/>
      <c r="AY113" s="71">
        <v>10.64</v>
      </c>
      <c r="AZ113" s="60">
        <v>3.58</v>
      </c>
      <c r="BA113" s="60">
        <v>4.0449999999999999</v>
      </c>
      <c r="BB113" s="60">
        <v>0.08</v>
      </c>
      <c r="BC113" s="60">
        <v>9.57</v>
      </c>
      <c r="BD113" s="60">
        <v>9.57</v>
      </c>
      <c r="BE113" s="60"/>
      <c r="BF113" s="60">
        <v>-0.02</v>
      </c>
      <c r="BG113" s="60">
        <v>0</v>
      </c>
      <c r="BH113" s="75"/>
      <c r="BI113" s="72">
        <f t="shared" si="119"/>
        <v>19.132852</v>
      </c>
      <c r="BJ113" s="76"/>
      <c r="BK113" s="77"/>
      <c r="BL113" s="78"/>
      <c r="BM113" s="78"/>
      <c r="BN113" s="77"/>
      <c r="BO113" s="78"/>
      <c r="BP113" s="78"/>
      <c r="BQ113" s="79">
        <f t="shared" si="109"/>
        <v>0</v>
      </c>
      <c r="BR113" s="80"/>
      <c r="BS113" s="77"/>
      <c r="BT113" s="77"/>
      <c r="BU113" s="77"/>
      <c r="BV113" s="77"/>
      <c r="BW113" s="77"/>
      <c r="BX113" s="77"/>
      <c r="BY113" s="72">
        <f t="shared" si="110"/>
        <v>0</v>
      </c>
      <c r="BZ113" s="73">
        <v>7.5</v>
      </c>
      <c r="CA113" s="60">
        <v>15.95</v>
      </c>
      <c r="CB113" s="60">
        <v>14.4</v>
      </c>
      <c r="CC113" s="60">
        <v>6.5</v>
      </c>
      <c r="CD113" s="65">
        <f t="shared" si="120"/>
        <v>86.666666666666671</v>
      </c>
      <c r="CE113" s="60"/>
      <c r="CF113" s="79">
        <f t="shared" si="137"/>
        <v>84.72708333333334</v>
      </c>
      <c r="CG113" s="71">
        <v>7.79</v>
      </c>
      <c r="CH113" s="60">
        <v>11.6</v>
      </c>
      <c r="CI113" s="60">
        <v>10.68</v>
      </c>
      <c r="CJ113" s="60">
        <v>3.96</v>
      </c>
      <c r="CK113" s="59">
        <f t="shared" si="121"/>
        <v>50.834403080872917</v>
      </c>
      <c r="CL113" s="60"/>
      <c r="CM113" s="72">
        <f t="shared" si="122"/>
        <v>43.873033333333339</v>
      </c>
      <c r="CN113" s="81">
        <f t="shared" si="123"/>
        <v>1</v>
      </c>
      <c r="CO113" s="59">
        <f t="shared" si="124"/>
        <v>43.214084700000001</v>
      </c>
      <c r="CP113" s="59">
        <f t="shared" si="125"/>
        <v>1</v>
      </c>
      <c r="CQ113" s="59">
        <f t="shared" si="126"/>
        <v>19.132852</v>
      </c>
      <c r="CR113" s="59">
        <f>IF(AV113&gt;0,'Look Ups'!$L$3,0)</f>
        <v>1</v>
      </c>
      <c r="CS113" s="59">
        <f t="shared" si="138"/>
        <v>0</v>
      </c>
      <c r="CT113" s="59">
        <f t="shared" si="139"/>
        <v>0</v>
      </c>
      <c r="CU113" s="59">
        <f t="shared" si="140"/>
        <v>0</v>
      </c>
      <c r="CV113" s="79">
        <f t="shared" si="141"/>
        <v>0</v>
      </c>
      <c r="CW113" s="82" t="str">
        <f t="shared" si="127"/>
        <v>valid</v>
      </c>
      <c r="CX113" s="65" t="str">
        <f t="shared" si="128"/>
        <v>valid</v>
      </c>
      <c r="CY113" s="66" t="str">
        <f t="shared" si="129"/>
        <v>MGScrSp</v>
      </c>
      <c r="CZ113" s="81">
        <f t="shared" si="130"/>
        <v>62.346936700000001</v>
      </c>
      <c r="DA113" s="59">
        <f t="shared" si="131"/>
        <v>19.678269400000001</v>
      </c>
      <c r="DB113" s="59">
        <f t="shared" si="132"/>
        <v>8.6590634666666677</v>
      </c>
      <c r="DC113" s="59">
        <f t="shared" si="133"/>
        <v>19.350298243333334</v>
      </c>
      <c r="DD113" s="59">
        <f t="shared" si="134"/>
        <v>1.3607099733333337</v>
      </c>
      <c r="DE113" s="79">
        <f t="shared" si="135"/>
        <v>64.947709831599994</v>
      </c>
      <c r="DF113" s="83">
        <f t="shared" si="136"/>
        <v>83.057944916666671</v>
      </c>
      <c r="DG113" s="412"/>
    </row>
    <row r="114" spans="2:255" ht="16.5" customHeight="1" x14ac:dyDescent="0.25">
      <c r="B114" s="414"/>
      <c r="C114" s="414" t="s">
        <v>469</v>
      </c>
      <c r="D114" s="84" t="s">
        <v>470</v>
      </c>
      <c r="E114" s="49" t="s">
        <v>471</v>
      </c>
      <c r="F114" s="415">
        <f t="shared" si="112"/>
        <v>0.87528272360635673</v>
      </c>
      <c r="G114" s="415" t="str">
        <f t="shared" ca="1" si="113"/>
        <v>Yes</v>
      </c>
      <c r="H114" s="51" t="str">
        <f t="shared" si="114"/>
        <v>Main - Genoa - Spinnaker</v>
      </c>
      <c r="I114" s="52">
        <v>42665</v>
      </c>
      <c r="J114" s="52">
        <v>44243</v>
      </c>
      <c r="K114" s="53" t="s">
        <v>1002</v>
      </c>
      <c r="L114" s="53" t="s">
        <v>299</v>
      </c>
      <c r="M114" s="54"/>
      <c r="N114" s="55" t="s">
        <v>127</v>
      </c>
      <c r="O114" s="55" t="s">
        <v>128</v>
      </c>
      <c r="P114" s="85"/>
      <c r="Q114" s="57">
        <v>8.4700000000000006</v>
      </c>
      <c r="R114" s="58"/>
      <c r="S114" s="59">
        <f t="shared" si="111"/>
        <v>0.21175000000000002</v>
      </c>
      <c r="T114" s="60">
        <v>0.1</v>
      </c>
      <c r="U114" s="60">
        <v>0</v>
      </c>
      <c r="V114" s="61">
        <f t="shared" si="108"/>
        <v>8.370000000000001</v>
      </c>
      <c r="W114" s="62">
        <f>IF(RL&gt;0,IF(RL&gt;'Look Ups'!R$7,'Look Ups'!R$8,('Look Ups'!R$3*RL^3+'Look Ups'!R$4*RL^2+'Look Ups'!R$5*RL+'Look Ups'!R$6)),0)</f>
        <v>0.29498575634900004</v>
      </c>
      <c r="X114" s="63">
        <v>1145</v>
      </c>
      <c r="Y114" s="64"/>
      <c r="Z114" s="64"/>
      <c r="AA114" s="64"/>
      <c r="AB114" s="65">
        <f t="shared" si="115"/>
        <v>1145</v>
      </c>
      <c r="AC114" s="66">
        <f t="shared" si="116"/>
        <v>1145</v>
      </c>
      <c r="AD114" s="67" t="s">
        <v>129</v>
      </c>
      <c r="AE114" s="68" t="s">
        <v>130</v>
      </c>
      <c r="AF114" s="69" t="s">
        <v>131</v>
      </c>
      <c r="AG114" s="70">
        <f>IF(C114="",0,VLOOKUP(AD114,'Look Ups'!$B$3:$C$6,2,0)*VLOOKUP(AE114,'Look Ups'!$E$3:$F$5,2,0)*VLOOKUP(AF114,'Look Ups'!$H$3:$I$7,2,0))</f>
        <v>1</v>
      </c>
      <c r="AH114" s="71">
        <v>10.47</v>
      </c>
      <c r="AI114" s="60">
        <v>10.32</v>
      </c>
      <c r="AJ114" s="60">
        <v>3.02</v>
      </c>
      <c r="AK114" s="60">
        <v>1.3</v>
      </c>
      <c r="AL114" s="60">
        <v>0.16</v>
      </c>
      <c r="AM114" s="60">
        <v>10.16</v>
      </c>
      <c r="AN114" s="60">
        <v>0.1</v>
      </c>
      <c r="AO114" s="60">
        <v>3.19</v>
      </c>
      <c r="AP114" s="60">
        <v>0</v>
      </c>
      <c r="AQ114" s="60">
        <v>0.46</v>
      </c>
      <c r="AR114" s="60" t="s">
        <v>132</v>
      </c>
      <c r="AS114" s="75" t="s">
        <v>1017</v>
      </c>
      <c r="AT114" s="59">
        <f t="shared" si="117"/>
        <v>10.16</v>
      </c>
      <c r="AU114" s="59">
        <f t="shared" si="118"/>
        <v>1.7526000000000002</v>
      </c>
      <c r="AV114" s="72">
        <f>IF(C114="",0,(0.5*(_ML1*LPM)+0.5*(_ML1*HB)+0.66*(P*PR)+0.66*(_ML2*RDM)+0.66*(E*ER))*VLOOKUP(BATT,'Look Ups'!$N$3:$O$4,2,0))</f>
        <v>24.375552000000003</v>
      </c>
      <c r="AW114" s="73"/>
      <c r="AX114" s="74"/>
      <c r="AY114" s="71">
        <v>9.18</v>
      </c>
      <c r="AZ114" s="60">
        <v>2.78</v>
      </c>
      <c r="BA114" s="60">
        <v>3.08</v>
      </c>
      <c r="BB114" s="60">
        <v>0.13</v>
      </c>
      <c r="BC114" s="60">
        <v>8.23</v>
      </c>
      <c r="BD114" s="60"/>
      <c r="BE114" s="60"/>
      <c r="BF114" s="60">
        <v>9.5000000000000001E-2</v>
      </c>
      <c r="BG114" s="60">
        <v>5.5E-2</v>
      </c>
      <c r="BH114" s="75" t="s">
        <v>1048</v>
      </c>
      <c r="BI114" s="72">
        <f t="shared" si="119"/>
        <v>13.873718999999999</v>
      </c>
      <c r="BJ114" s="76"/>
      <c r="BK114" s="77"/>
      <c r="BL114" s="78"/>
      <c r="BM114" s="78"/>
      <c r="BN114" s="77"/>
      <c r="BO114" s="78"/>
      <c r="BP114" s="78"/>
      <c r="BQ114" s="79">
        <f t="shared" si="109"/>
        <v>0</v>
      </c>
      <c r="BR114" s="80"/>
      <c r="BS114" s="77"/>
      <c r="BT114" s="77"/>
      <c r="BU114" s="77"/>
      <c r="BV114" s="77"/>
      <c r="BW114" s="77"/>
      <c r="BX114" s="77"/>
      <c r="BY114" s="72">
        <f t="shared" si="110"/>
        <v>0</v>
      </c>
      <c r="BZ114" s="73">
        <v>7.1</v>
      </c>
      <c r="CA114" s="60">
        <v>12.63</v>
      </c>
      <c r="CB114" s="60">
        <v>10.62</v>
      </c>
      <c r="CC114" s="60">
        <v>6.39</v>
      </c>
      <c r="CD114" s="65">
        <f t="shared" si="120"/>
        <v>90</v>
      </c>
      <c r="CE114" s="75" t="s">
        <v>1018</v>
      </c>
      <c r="CF114" s="79">
        <f t="shared" si="137"/>
        <v>63.278750000000002</v>
      </c>
      <c r="CG114" s="71"/>
      <c r="CH114" s="60"/>
      <c r="CI114" s="60"/>
      <c r="CJ114" s="60"/>
      <c r="CK114" s="59" t="str">
        <f t="shared" si="121"/>
        <v/>
      </c>
      <c r="CL114" s="75">
        <v>0</v>
      </c>
      <c r="CM114" s="72">
        <f t="shared" si="122"/>
        <v>0</v>
      </c>
      <c r="CN114" s="81">
        <f t="shared" si="123"/>
        <v>1</v>
      </c>
      <c r="CO114" s="59">
        <f t="shared" si="124"/>
        <v>26.128152000000004</v>
      </c>
      <c r="CP114" s="59">
        <f t="shared" si="125"/>
        <v>1</v>
      </c>
      <c r="CQ114" s="59">
        <f t="shared" si="126"/>
        <v>13.873718999999999</v>
      </c>
      <c r="CR114" s="59">
        <f>IF(AV114&gt;0,'Look Ups'!$L$3,0)</f>
        <v>1</v>
      </c>
      <c r="CS114" s="59">
        <f t="shared" si="138"/>
        <v>0</v>
      </c>
      <c r="CT114" s="59">
        <f t="shared" si="139"/>
        <v>0</v>
      </c>
      <c r="CU114" s="59">
        <f t="shared" si="140"/>
        <v>0</v>
      </c>
      <c r="CV114" s="79">
        <f t="shared" si="141"/>
        <v>0</v>
      </c>
      <c r="CW114" s="82" t="str">
        <f t="shared" si="127"/>
        <v>-</v>
      </c>
      <c r="CX114" s="65" t="str">
        <f t="shared" si="128"/>
        <v>valid</v>
      </c>
      <c r="CY114" s="66" t="str">
        <f t="shared" si="129"/>
        <v>MGSp</v>
      </c>
      <c r="CZ114" s="81">
        <f t="shared" si="130"/>
        <v>40.001871000000001</v>
      </c>
      <c r="DA114" s="59">
        <f t="shared" si="131"/>
        <v>14.821509299999999</v>
      </c>
      <c r="DB114" s="59">
        <f t="shared" si="132"/>
        <v>0</v>
      </c>
      <c r="DC114" s="59">
        <f t="shared" si="133"/>
        <v>14.574484145</v>
      </c>
      <c r="DD114" s="59">
        <f t="shared" si="134"/>
        <v>0</v>
      </c>
      <c r="DE114" s="79">
        <f t="shared" si="135"/>
        <v>41.325349764000002</v>
      </c>
      <c r="DF114" s="83">
        <f t="shared" si="136"/>
        <v>54.823380299999997</v>
      </c>
      <c r="DG114" s="412"/>
    </row>
    <row r="115" spans="2:255" ht="16.5" customHeight="1" x14ac:dyDescent="0.25">
      <c r="B115" s="414"/>
      <c r="C115" s="414" t="s">
        <v>475</v>
      </c>
      <c r="D115" s="84" t="s">
        <v>323</v>
      </c>
      <c r="E115" s="49" t="s">
        <v>247</v>
      </c>
      <c r="F115" s="415">
        <f t="shared" si="112"/>
        <v>0.78079638692669684</v>
      </c>
      <c r="G115" s="415" t="str">
        <f t="shared" ca="1" si="113"/>
        <v>Yes</v>
      </c>
      <c r="H115" s="51" t="str">
        <f t="shared" si="114"/>
        <v>Main - Genoa - Screacher - Spinnaker</v>
      </c>
      <c r="I115" s="52">
        <v>41689</v>
      </c>
      <c r="J115" s="52">
        <v>44569</v>
      </c>
      <c r="K115" s="53" t="s">
        <v>468</v>
      </c>
      <c r="L115" s="53" t="s">
        <v>614</v>
      </c>
      <c r="M115" s="54"/>
      <c r="N115" s="55" t="s">
        <v>127</v>
      </c>
      <c r="O115" s="55" t="s">
        <v>138</v>
      </c>
      <c r="P115" s="85"/>
      <c r="Q115" s="57">
        <v>7.3</v>
      </c>
      <c r="R115" s="58"/>
      <c r="S115" s="59">
        <f t="shared" si="111"/>
        <v>0.1825</v>
      </c>
      <c r="T115" s="60">
        <v>0.01</v>
      </c>
      <c r="U115" s="60"/>
      <c r="V115" s="61">
        <f t="shared" si="108"/>
        <v>7.29</v>
      </c>
      <c r="W115" s="62">
        <f>IF(RL&gt;0,IF(RL&gt;'Look Ups'!R$7,'Look Ups'!R$8,('Look Ups'!R$3*RL^3+'Look Ups'!R$4*RL^2+'Look Ups'!R$5*RL+'Look Ups'!R$6)),0)</f>
        <v>0.29103813613700003</v>
      </c>
      <c r="X115" s="63">
        <v>966</v>
      </c>
      <c r="Y115" s="64"/>
      <c r="Z115" s="64">
        <v>296</v>
      </c>
      <c r="AA115" s="64"/>
      <c r="AB115" s="65">
        <f t="shared" si="115"/>
        <v>966</v>
      </c>
      <c r="AC115" s="66">
        <f t="shared" si="116"/>
        <v>1262</v>
      </c>
      <c r="AD115" s="67" t="s">
        <v>129</v>
      </c>
      <c r="AE115" s="68" t="s">
        <v>130</v>
      </c>
      <c r="AF115" s="69" t="s">
        <v>131</v>
      </c>
      <c r="AG115" s="70">
        <f>IF(C115="",0,VLOOKUP(AD115,'Look Ups'!$B$3:$C$6,2,0)*VLOOKUP(AE115,'Look Ups'!$E$3:$F$5,2,0)*VLOOKUP(AF115,'Look Ups'!$H$3:$I$7,2,0))</f>
        <v>1</v>
      </c>
      <c r="AH115" s="71">
        <v>10.185</v>
      </c>
      <c r="AI115" s="60">
        <v>10.050000000000001</v>
      </c>
      <c r="AJ115" s="60">
        <v>3.01</v>
      </c>
      <c r="AK115" s="60">
        <v>1.2350000000000001</v>
      </c>
      <c r="AL115" s="60">
        <v>0.185</v>
      </c>
      <c r="AM115" s="60">
        <v>9.52</v>
      </c>
      <c r="AN115" s="60">
        <v>2.1999999999999999E-2</v>
      </c>
      <c r="AO115" s="60">
        <v>3.24</v>
      </c>
      <c r="AP115" s="60">
        <v>0.05</v>
      </c>
      <c r="AQ115" s="60">
        <v>0.49</v>
      </c>
      <c r="AR115" s="60" t="s">
        <v>132</v>
      </c>
      <c r="AS115" s="75"/>
      <c r="AT115" s="59">
        <f t="shared" si="117"/>
        <v>9.57</v>
      </c>
      <c r="AU115" s="59">
        <f t="shared" si="118"/>
        <v>1.7492999999999999</v>
      </c>
      <c r="AV115" s="72">
        <f>IF(C115="",0,(0.5*(_ML1*LPM)+0.5*(_ML1*HB)+0.66*(P*PR)+0.66*(_ML2*RDM)+0.66*(E*ER))*VLOOKUP(BATT,'Look Ups'!$N$3:$O$4,2,0))</f>
        <v>23.089917900000003</v>
      </c>
      <c r="AW115" s="73"/>
      <c r="AX115" s="74"/>
      <c r="AY115" s="71">
        <v>7.7350000000000003</v>
      </c>
      <c r="AZ115" s="60">
        <v>2.7</v>
      </c>
      <c r="BA115" s="60">
        <v>3</v>
      </c>
      <c r="BB115" s="60">
        <v>0.20499999999999999</v>
      </c>
      <c r="BC115" s="60">
        <v>6.9749999999999996</v>
      </c>
      <c r="BD115" s="60">
        <v>6.9649999999999999</v>
      </c>
      <c r="BE115" s="60">
        <v>0.27500000000000002</v>
      </c>
      <c r="BF115" s="60">
        <v>0.1</v>
      </c>
      <c r="BG115" s="60">
        <v>0.02</v>
      </c>
      <c r="BH115" s="75"/>
      <c r="BI115" s="72">
        <f t="shared" si="119"/>
        <v>12.369004500000003</v>
      </c>
      <c r="BJ115" s="76"/>
      <c r="BK115" s="77"/>
      <c r="BL115" s="78"/>
      <c r="BM115" s="78"/>
      <c r="BN115" s="77"/>
      <c r="BO115" s="78"/>
      <c r="BP115" s="78"/>
      <c r="BQ115" s="79">
        <v>0</v>
      </c>
      <c r="BR115" s="80"/>
      <c r="BS115" s="77"/>
      <c r="BT115" s="77"/>
      <c r="BU115" s="77"/>
      <c r="BV115" s="77"/>
      <c r="BW115" s="77"/>
      <c r="BX115" s="77"/>
      <c r="BY115" s="72"/>
      <c r="BZ115" s="73">
        <v>6.74</v>
      </c>
      <c r="CA115" s="60">
        <v>11.87</v>
      </c>
      <c r="CB115" s="60">
        <v>10.44</v>
      </c>
      <c r="CC115" s="60">
        <v>5.63</v>
      </c>
      <c r="CD115" s="65">
        <f t="shared" si="120"/>
        <v>83.531157270029667</v>
      </c>
      <c r="CE115" s="75"/>
      <c r="CF115" s="79">
        <f t="shared" si="137"/>
        <v>54.399216666666661</v>
      </c>
      <c r="CG115" s="71">
        <v>5.29</v>
      </c>
      <c r="CH115" s="60">
        <v>10.145</v>
      </c>
      <c r="CI115" s="60">
        <v>9.06</v>
      </c>
      <c r="CJ115" s="60">
        <v>2.73</v>
      </c>
      <c r="CK115" s="59">
        <f t="shared" si="121"/>
        <v>51.606805293005678</v>
      </c>
      <c r="CL115" s="75"/>
      <c r="CM115" s="72">
        <f t="shared" si="122"/>
        <v>25.942754166666663</v>
      </c>
      <c r="CN115" s="81">
        <f t="shared" si="123"/>
        <v>1</v>
      </c>
      <c r="CO115" s="59">
        <f t="shared" si="124"/>
        <v>24.839217900000001</v>
      </c>
      <c r="CP115" s="59">
        <f t="shared" si="125"/>
        <v>1</v>
      </c>
      <c r="CQ115" s="59">
        <f t="shared" si="126"/>
        <v>12.369004500000003</v>
      </c>
      <c r="CR115" s="59">
        <f>IF(AV115&gt;0,'Look Ups'!$L$3,0)</f>
        <v>1</v>
      </c>
      <c r="CS115" s="59">
        <f t="shared" si="138"/>
        <v>0</v>
      </c>
      <c r="CT115" s="59">
        <f t="shared" si="139"/>
        <v>0</v>
      </c>
      <c r="CU115" s="59">
        <f t="shared" si="140"/>
        <v>0</v>
      </c>
      <c r="CV115" s="79">
        <f t="shared" si="141"/>
        <v>0</v>
      </c>
      <c r="CW115" s="82" t="str">
        <f t="shared" si="127"/>
        <v>valid</v>
      </c>
      <c r="CX115" s="65" t="str">
        <f t="shared" si="128"/>
        <v>valid</v>
      </c>
      <c r="CY115" s="66" t="str">
        <f t="shared" si="129"/>
        <v>MGScrSp</v>
      </c>
      <c r="CZ115" s="81">
        <f t="shared" si="130"/>
        <v>37.208222400000004</v>
      </c>
      <c r="DA115" s="59">
        <f t="shared" si="131"/>
        <v>12.609063649999998</v>
      </c>
      <c r="DB115" s="59">
        <f t="shared" si="132"/>
        <v>4.7508123833333311</v>
      </c>
      <c r="DC115" s="59">
        <f t="shared" si="133"/>
        <v>12.398912589166663</v>
      </c>
      <c r="DD115" s="59">
        <f t="shared" si="134"/>
        <v>0.7465562316666664</v>
      </c>
      <c r="DE115" s="79">
        <f t="shared" si="135"/>
        <v>38.555005447200003</v>
      </c>
      <c r="DF115" s="83">
        <f t="shared" si="136"/>
        <v>50.353691220833333</v>
      </c>
      <c r="DG115" s="412"/>
    </row>
    <row r="116" spans="2:255" ht="16.5" customHeight="1" x14ac:dyDescent="0.25">
      <c r="B116" s="414"/>
      <c r="C116" s="414" t="s">
        <v>909</v>
      </c>
      <c r="D116" s="48" t="s">
        <v>156</v>
      </c>
      <c r="E116" s="49" t="s">
        <v>910</v>
      </c>
      <c r="F116" s="415">
        <f t="shared" si="112"/>
        <v>1.0672545214477032</v>
      </c>
      <c r="G116" s="415" t="str">
        <f t="shared" ca="1" si="113"/>
        <v>Yes</v>
      </c>
      <c r="H116" s="51" t="str">
        <f t="shared" si="114"/>
        <v>Main - Genoa - Screacher - Spinnaker</v>
      </c>
      <c r="I116" s="52">
        <v>43006</v>
      </c>
      <c r="J116" s="52">
        <v>43006</v>
      </c>
      <c r="K116" s="53" t="s">
        <v>506</v>
      </c>
      <c r="L116" s="53" t="s">
        <v>841</v>
      </c>
      <c r="M116" s="54"/>
      <c r="N116" s="55" t="s">
        <v>127</v>
      </c>
      <c r="O116" s="55" t="s">
        <v>138</v>
      </c>
      <c r="P116" s="56"/>
      <c r="Q116" s="57">
        <v>9.1</v>
      </c>
      <c r="R116" s="58"/>
      <c r="S116" s="59">
        <f t="shared" si="111"/>
        <v>0.22750000000000001</v>
      </c>
      <c r="T116" s="60">
        <v>7.0000000000000007E-2</v>
      </c>
      <c r="U116" s="60"/>
      <c r="V116" s="61">
        <f t="shared" si="108"/>
        <v>9.0299999999999994</v>
      </c>
      <c r="W116" s="62">
        <f>IF(RL&gt;0,IF(RL&gt;'Look Ups'!R$7,'Look Ups'!R$8,('Look Ups'!R$3*RL^3+'Look Ups'!R$4*RL^2+'Look Ups'!R$5*RL+'Look Ups'!R$6)),0)</f>
        <v>0.29672611279100003</v>
      </c>
      <c r="X116" s="63">
        <v>1285</v>
      </c>
      <c r="Y116" s="64"/>
      <c r="Z116" s="64"/>
      <c r="AA116" s="64"/>
      <c r="AB116" s="65">
        <f t="shared" si="115"/>
        <v>1285</v>
      </c>
      <c r="AC116" s="66">
        <f t="shared" si="116"/>
        <v>1285</v>
      </c>
      <c r="AD116" s="67" t="s">
        <v>129</v>
      </c>
      <c r="AE116" s="68" t="s">
        <v>130</v>
      </c>
      <c r="AF116" s="69" t="s">
        <v>131</v>
      </c>
      <c r="AG116" s="70">
        <f>IF(C116="",0,VLOOKUP(AD116,'Look Ups'!$B$3:$C$6,2,0)*VLOOKUP(AE116,'Look Ups'!$E$3:$F$5,2,0)*VLOOKUP(AF116,'Look Ups'!$H$3:$I$7,2,0))</f>
        <v>1</v>
      </c>
      <c r="AH116" s="71">
        <v>13.87</v>
      </c>
      <c r="AI116" s="60">
        <v>13.76</v>
      </c>
      <c r="AJ116" s="60">
        <v>3.36</v>
      </c>
      <c r="AK116" s="60">
        <v>1.05</v>
      </c>
      <c r="AL116" s="60">
        <v>0.74</v>
      </c>
      <c r="AM116" s="60">
        <v>13.26</v>
      </c>
      <c r="AN116" s="60">
        <v>0</v>
      </c>
      <c r="AO116" s="60">
        <v>3.56</v>
      </c>
      <c r="AP116" s="60">
        <v>0.12</v>
      </c>
      <c r="AQ116" s="60">
        <v>0.60000000000000009</v>
      </c>
      <c r="AR116" s="60" t="s">
        <v>132</v>
      </c>
      <c r="AS116" s="75" t="s">
        <v>157</v>
      </c>
      <c r="AT116" s="59">
        <f t="shared" si="117"/>
        <v>13.379999999999999</v>
      </c>
      <c r="AU116" s="59">
        <f t="shared" si="118"/>
        <v>2.9835000000000007</v>
      </c>
      <c r="AV116" s="72">
        <f>IF(C116="",0,(0.5*(_ML1*LPM)+0.5*(_ML1*HB)+0.66*(P*PR)+0.66*(_ML2*RDM)+0.66*(E*ER))*VLOOKUP(BATT,'Look Ups'!$N$3:$O$4,2,0))</f>
        <v>37.585685999999995</v>
      </c>
      <c r="AW116" s="73"/>
      <c r="AX116" s="74"/>
      <c r="AY116" s="71">
        <v>12.96</v>
      </c>
      <c r="AZ116" s="60">
        <v>3.92</v>
      </c>
      <c r="BA116" s="60">
        <v>3.85</v>
      </c>
      <c r="BB116" s="60">
        <v>0.2</v>
      </c>
      <c r="BC116" s="60">
        <v>11.7</v>
      </c>
      <c r="BD116" s="60">
        <v>11.66</v>
      </c>
      <c r="BE116" s="60">
        <v>0.15</v>
      </c>
      <c r="BF116" s="60">
        <v>0.02</v>
      </c>
      <c r="BG116" s="60">
        <v>-0.05</v>
      </c>
      <c r="BH116" s="75">
        <v>0</v>
      </c>
      <c r="BI116" s="72">
        <f>(0.5*LL*LPG)+(0.5*_LG1*HG)+(0.66*LL*LLRG)+(0.66*FG*FRG)+(IF((HG&gt;0),(0.66*_LG2*LRG),(0.66*_LG1*LRG)))-0.25</f>
        <v>26.263532000000001</v>
      </c>
      <c r="BJ116" s="76"/>
      <c r="BK116" s="77"/>
      <c r="BL116" s="78"/>
      <c r="BM116" s="78"/>
      <c r="BN116" s="77"/>
      <c r="BO116" s="78"/>
      <c r="BP116" s="78"/>
      <c r="BQ116" s="79">
        <f t="shared" ref="BQ116:BQ122" si="142">(0.5*LLS*LPS)+(0.66*LLS*LLRS)+(0.66*LS*LRS)+(0.66*FS*FRS)</f>
        <v>0</v>
      </c>
      <c r="BR116" s="80"/>
      <c r="BS116" s="77"/>
      <c r="BT116" s="77"/>
      <c r="BU116" s="77"/>
      <c r="BV116" s="77"/>
      <c r="BW116" s="77"/>
      <c r="BX116" s="77"/>
      <c r="BY116" s="72">
        <f t="shared" ref="BY116:BY122" si="143">(0.5*LLD*LPD)+(0.66*LLD*LLRD)+(0.66*LCHD*LRD)+(0.66*FD*FRD)</f>
        <v>0</v>
      </c>
      <c r="BZ116" s="73">
        <v>10.17</v>
      </c>
      <c r="CA116" s="60">
        <v>16.899999999999999</v>
      </c>
      <c r="CB116" s="60">
        <v>13.9</v>
      </c>
      <c r="CC116" s="60">
        <v>7.63</v>
      </c>
      <c r="CD116" s="59">
        <f t="shared" si="120"/>
        <v>75.024582104228116</v>
      </c>
      <c r="CE116" s="60">
        <v>0</v>
      </c>
      <c r="CF116" s="79">
        <f t="shared" si="137"/>
        <v>104.43766666666666</v>
      </c>
      <c r="CG116" s="71">
        <v>9.7799999999999994</v>
      </c>
      <c r="CH116" s="60">
        <v>16.45</v>
      </c>
      <c r="CI116" s="60">
        <v>13.87</v>
      </c>
      <c r="CJ116" s="60">
        <v>4.9800000000000004</v>
      </c>
      <c r="CK116" s="59">
        <f t="shared" si="121"/>
        <v>50.920245398773012</v>
      </c>
      <c r="CL116" s="60">
        <v>0</v>
      </c>
      <c r="CM116" s="72">
        <f t="shared" si="122"/>
        <v>75.042000000000002</v>
      </c>
      <c r="CN116" s="81">
        <f t="shared" si="123"/>
        <v>1</v>
      </c>
      <c r="CO116" s="59">
        <f t="shared" si="124"/>
        <v>40.569185999999995</v>
      </c>
      <c r="CP116" s="59">
        <f t="shared" si="125"/>
        <v>1</v>
      </c>
      <c r="CQ116" s="59">
        <f t="shared" si="126"/>
        <v>26.263532000000001</v>
      </c>
      <c r="CR116" s="59">
        <f>IF(AV116&gt;0,'Look Ups'!$L$3,0)</f>
        <v>1</v>
      </c>
      <c r="CS116" s="59">
        <f t="shared" si="138"/>
        <v>0</v>
      </c>
      <c r="CT116" s="59">
        <f t="shared" si="139"/>
        <v>0</v>
      </c>
      <c r="CU116" s="59">
        <f t="shared" si="140"/>
        <v>0</v>
      </c>
      <c r="CV116" s="79">
        <f t="shared" si="141"/>
        <v>0</v>
      </c>
      <c r="CW116" s="82" t="str">
        <f t="shared" si="127"/>
        <v>valid</v>
      </c>
      <c r="CX116" s="65" t="str">
        <f t="shared" si="128"/>
        <v>valid</v>
      </c>
      <c r="CY116" s="66" t="str">
        <f t="shared" si="129"/>
        <v>MGScrSp</v>
      </c>
      <c r="CZ116" s="81">
        <f t="shared" si="130"/>
        <v>66.832718</v>
      </c>
      <c r="DA116" s="59">
        <f t="shared" si="131"/>
        <v>23.452240399999997</v>
      </c>
      <c r="DB116" s="59">
        <f t="shared" si="132"/>
        <v>17.072463800000001</v>
      </c>
      <c r="DC116" s="59">
        <f t="shared" si="133"/>
        <v>23.061369726666662</v>
      </c>
      <c r="DD116" s="59">
        <f t="shared" si="134"/>
        <v>2.6828157400000001</v>
      </c>
      <c r="DE116" s="79">
        <f t="shared" si="135"/>
        <v>68.377728632</v>
      </c>
      <c r="DF116" s="83">
        <f t="shared" si="136"/>
        <v>92.576903466666664</v>
      </c>
      <c r="DG116" s="412"/>
    </row>
    <row r="117" spans="2:255" ht="16.25" customHeight="1" x14ac:dyDescent="0.25">
      <c r="B117" s="418"/>
      <c r="C117" s="414" t="s">
        <v>476</v>
      </c>
      <c r="D117" s="84" t="s">
        <v>477</v>
      </c>
      <c r="E117" s="49" t="s">
        <v>478</v>
      </c>
      <c r="F117" s="415">
        <f t="shared" si="112"/>
        <v>1.0165748859612338</v>
      </c>
      <c r="G117" s="415" t="str">
        <f t="shared" ca="1" si="113"/>
        <v>Yes</v>
      </c>
      <c r="H117" s="51" t="str">
        <f t="shared" si="114"/>
        <v>Main - Genoa - Screacher - Spinnaker</v>
      </c>
      <c r="I117" s="52">
        <v>42795</v>
      </c>
      <c r="J117" s="52">
        <v>43859</v>
      </c>
      <c r="K117" s="53" t="s">
        <v>1054</v>
      </c>
      <c r="L117" s="53" t="s">
        <v>299</v>
      </c>
      <c r="M117" s="54"/>
      <c r="N117" s="75" t="s">
        <v>149</v>
      </c>
      <c r="O117" s="75"/>
      <c r="P117" s="85"/>
      <c r="Q117" s="57">
        <v>15.2</v>
      </c>
      <c r="R117" s="58"/>
      <c r="S117" s="59">
        <f t="shared" si="111"/>
        <v>0.38</v>
      </c>
      <c r="T117" s="60">
        <v>0</v>
      </c>
      <c r="U117" s="60">
        <v>0</v>
      </c>
      <c r="V117" s="61">
        <f t="shared" si="108"/>
        <v>15.2</v>
      </c>
      <c r="W117" s="62">
        <f>IF(RL&gt;0,IF(RL&gt;'Look Ups'!R$7,'Look Ups'!R$8,('Look Ups'!R$3*RL^3+'Look Ups'!R$4*RL^2+'Look Ups'!R$5*RL+'Look Ups'!R$6)),0)</f>
        <v>0.3</v>
      </c>
      <c r="X117" s="63">
        <v>5035</v>
      </c>
      <c r="Y117" s="64"/>
      <c r="Z117" s="64"/>
      <c r="AA117" s="64"/>
      <c r="AB117" s="65">
        <f t="shared" si="115"/>
        <v>5035</v>
      </c>
      <c r="AC117" s="66">
        <f t="shared" si="116"/>
        <v>5035</v>
      </c>
      <c r="AD117" s="67" t="s">
        <v>129</v>
      </c>
      <c r="AE117" s="68" t="s">
        <v>130</v>
      </c>
      <c r="AF117" s="69" t="s">
        <v>131</v>
      </c>
      <c r="AG117" s="70">
        <f>IF(C117="",0,VLOOKUP(AD117,'Look Ups'!$B$3:$C$6,2,0)*VLOOKUP(AE117,'Look Ups'!$E$3:$F$5,2,0)*VLOOKUP(AF117,'Look Ups'!$H$3:$I$7,2,0))</f>
        <v>1</v>
      </c>
      <c r="AH117" s="71">
        <v>18.149999999999999</v>
      </c>
      <c r="AI117" s="60">
        <v>18.02</v>
      </c>
      <c r="AJ117" s="60">
        <v>5.68</v>
      </c>
      <c r="AK117" s="60">
        <v>2.33</v>
      </c>
      <c r="AL117" s="60">
        <v>0.57999999999999996</v>
      </c>
      <c r="AM117" s="60">
        <v>18.36</v>
      </c>
      <c r="AN117" s="60">
        <v>0.32</v>
      </c>
      <c r="AO117" s="60">
        <v>5.79</v>
      </c>
      <c r="AP117" s="60">
        <v>0.06</v>
      </c>
      <c r="AQ117" s="60">
        <v>0.72</v>
      </c>
      <c r="AR117" s="60" t="s">
        <v>132</v>
      </c>
      <c r="AS117" s="75">
        <v>0</v>
      </c>
      <c r="AT117" s="59">
        <f t="shared" si="117"/>
        <v>18.419999999999998</v>
      </c>
      <c r="AU117" s="59">
        <f t="shared" si="118"/>
        <v>4.9571999999999994</v>
      </c>
      <c r="AV117" s="72">
        <f>IF(C117="",0,(0.5*(_ML1*LPM)+0.5*(_ML1*HB)+0.66*(P*PR)+0.66*(_ML2*RDM)+0.66*(E*ER))*VLOOKUP(BATT,'Look Ups'!$N$3:$O$4,2,0))</f>
        <v>83.695722000000004</v>
      </c>
      <c r="AW117" s="73"/>
      <c r="AX117" s="74"/>
      <c r="AY117" s="71">
        <v>16.29</v>
      </c>
      <c r="AZ117" s="60">
        <v>4.8499999999999996</v>
      </c>
      <c r="BA117" s="60">
        <v>5.0599999999999996</v>
      </c>
      <c r="BB117" s="60">
        <v>0.05</v>
      </c>
      <c r="BC117" s="60">
        <v>15.42</v>
      </c>
      <c r="BD117" s="60"/>
      <c r="BE117" s="60"/>
      <c r="BF117" s="60">
        <v>-0.31</v>
      </c>
      <c r="BG117" s="60">
        <v>0</v>
      </c>
      <c r="BH117" s="75">
        <v>0</v>
      </c>
      <c r="BI117" s="72">
        <f t="shared" ref="BI117:BI131" si="144">(0.5*LL*LPG)+(0.5*_LG1*HG)+(0.66*LL*LLRG)+(0.66*FG*FRG)+(IF((HG&gt;0),(0.66*_LG2*LRG),(0.66*_LG1*LRG)))</f>
        <v>36.515297999999994</v>
      </c>
      <c r="BJ117" s="76"/>
      <c r="BK117" s="77"/>
      <c r="BL117" s="78"/>
      <c r="BM117" s="78"/>
      <c r="BN117" s="77"/>
      <c r="BO117" s="78"/>
      <c r="BP117" s="78"/>
      <c r="BQ117" s="79">
        <f t="shared" si="142"/>
        <v>0</v>
      </c>
      <c r="BR117" s="80"/>
      <c r="BS117" s="77"/>
      <c r="BT117" s="77"/>
      <c r="BU117" s="77"/>
      <c r="BV117" s="77"/>
      <c r="BW117" s="77"/>
      <c r="BX117" s="77"/>
      <c r="BY117" s="72">
        <f t="shared" si="143"/>
        <v>0</v>
      </c>
      <c r="BZ117" s="73">
        <v>12.1</v>
      </c>
      <c r="CA117" s="60">
        <v>19.89</v>
      </c>
      <c r="CB117" s="60">
        <v>17.48</v>
      </c>
      <c r="CC117" s="60">
        <v>10.15</v>
      </c>
      <c r="CD117" s="65">
        <f t="shared" si="120"/>
        <v>83.884297520661164</v>
      </c>
      <c r="CE117" s="75">
        <v>0</v>
      </c>
      <c r="CF117" s="79">
        <f t="shared" si="137"/>
        <v>164.11658333333335</v>
      </c>
      <c r="CG117" s="71">
        <v>9.5250000000000004</v>
      </c>
      <c r="CH117" s="327">
        <v>18.100000000000001</v>
      </c>
      <c r="CI117" s="327">
        <v>15.8</v>
      </c>
      <c r="CJ117" s="327">
        <v>4.7699999999999996</v>
      </c>
      <c r="CK117" s="59">
        <f t="shared" si="121"/>
        <v>50.078740157480304</v>
      </c>
      <c r="CL117" s="75">
        <v>0</v>
      </c>
      <c r="CM117" s="72">
        <f t="shared" si="122"/>
        <v>80.809125000000023</v>
      </c>
      <c r="CN117" s="81">
        <f t="shared" si="123"/>
        <v>1</v>
      </c>
      <c r="CO117" s="59">
        <f t="shared" si="124"/>
        <v>88.652922000000004</v>
      </c>
      <c r="CP117" s="59">
        <f t="shared" si="125"/>
        <v>1</v>
      </c>
      <c r="CQ117" s="59">
        <f t="shared" si="126"/>
        <v>36.515297999999994</v>
      </c>
      <c r="CR117" s="59">
        <f>IF(AV117&gt;0,'Look Ups'!$L$3,0)</f>
        <v>1</v>
      </c>
      <c r="CS117" s="59">
        <f t="shared" si="138"/>
        <v>0</v>
      </c>
      <c r="CT117" s="59">
        <f t="shared" si="139"/>
        <v>0</v>
      </c>
      <c r="CU117" s="59">
        <f t="shared" si="140"/>
        <v>0</v>
      </c>
      <c r="CV117" s="79">
        <f t="shared" si="141"/>
        <v>0</v>
      </c>
      <c r="CW117" s="82" t="str">
        <f t="shared" si="127"/>
        <v>valid</v>
      </c>
      <c r="CX117" s="65" t="str">
        <f t="shared" si="128"/>
        <v>valid</v>
      </c>
      <c r="CY117" s="66" t="str">
        <f t="shared" si="129"/>
        <v>MGScrSp</v>
      </c>
      <c r="CZ117" s="81">
        <f t="shared" si="130"/>
        <v>125.16821999999999</v>
      </c>
      <c r="DA117" s="59">
        <f t="shared" si="131"/>
        <v>38.280385600000002</v>
      </c>
      <c r="DB117" s="59">
        <f t="shared" si="132"/>
        <v>15.502839450000009</v>
      </c>
      <c r="DC117" s="59">
        <f t="shared" si="133"/>
        <v>37.642379173333339</v>
      </c>
      <c r="DD117" s="59">
        <f t="shared" si="134"/>
        <v>2.4361604850000016</v>
      </c>
      <c r="DE117" s="79">
        <f t="shared" si="135"/>
        <v>130.799083392</v>
      </c>
      <c r="DF117" s="83">
        <f t="shared" si="136"/>
        <v>165.24675965833333</v>
      </c>
      <c r="DG117" s="412"/>
    </row>
    <row r="118" spans="2:255" ht="16.25" customHeight="1" x14ac:dyDescent="0.25">
      <c r="B118" s="414"/>
      <c r="C118" s="414" t="s">
        <v>965</v>
      </c>
      <c r="D118" s="48" t="s">
        <v>966</v>
      </c>
      <c r="E118" s="49" t="s">
        <v>1039</v>
      </c>
      <c r="F118" s="415">
        <f t="shared" si="112"/>
        <v>0.78094678586872424</v>
      </c>
      <c r="G118" s="415" t="str">
        <f t="shared" ca="1" si="113"/>
        <v>Yes</v>
      </c>
      <c r="H118" s="51" t="str">
        <f t="shared" si="114"/>
        <v>Main - Genoa</v>
      </c>
      <c r="I118" s="52">
        <v>43682</v>
      </c>
      <c r="J118" s="52">
        <v>44149</v>
      </c>
      <c r="K118" s="53" t="s">
        <v>1028</v>
      </c>
      <c r="L118" s="53" t="s">
        <v>299</v>
      </c>
      <c r="M118" s="54"/>
      <c r="N118" s="55" t="s">
        <v>127</v>
      </c>
      <c r="O118" s="55" t="s">
        <v>128</v>
      </c>
      <c r="P118" s="56"/>
      <c r="Q118" s="57">
        <v>9.5</v>
      </c>
      <c r="R118" s="58"/>
      <c r="S118" s="59">
        <f t="shared" si="111"/>
        <v>0.23750000000000002</v>
      </c>
      <c r="T118" s="60">
        <v>0.12</v>
      </c>
      <c r="U118" s="60">
        <v>0</v>
      </c>
      <c r="V118" s="61">
        <f t="shared" si="108"/>
        <v>9.3800000000000008</v>
      </c>
      <c r="W118" s="62">
        <f>IF(RL&gt;0,IF(RL&gt;'Look Ups'!R$7,'Look Ups'!R$8,('Look Ups'!R$3*RL^3+'Look Ups'!R$4*RL^2+'Look Ups'!R$5*RL+'Look Ups'!R$6)),0)</f>
        <v>0.29746653117600003</v>
      </c>
      <c r="X118" s="63">
        <v>2150</v>
      </c>
      <c r="Y118" s="64"/>
      <c r="Z118" s="417"/>
      <c r="AA118" s="64"/>
      <c r="AB118" s="65">
        <f t="shared" si="115"/>
        <v>2150</v>
      </c>
      <c r="AC118" s="66">
        <f t="shared" si="116"/>
        <v>2150</v>
      </c>
      <c r="AD118" s="67" t="s">
        <v>129</v>
      </c>
      <c r="AE118" s="68" t="s">
        <v>130</v>
      </c>
      <c r="AF118" s="69" t="s">
        <v>131</v>
      </c>
      <c r="AG118" s="70">
        <f>IF(C118="",0,VLOOKUP(AD118,'Look Ups'!$B$3:$C$6,2,0)*VLOOKUP(AE118,'Look Ups'!$E$3:$F$5,2,0)*VLOOKUP(AF118,'Look Ups'!$H$3:$I$7,2,0))</f>
        <v>1</v>
      </c>
      <c r="AH118" s="71">
        <v>12.65</v>
      </c>
      <c r="AI118" s="60">
        <v>12.337</v>
      </c>
      <c r="AJ118" s="60">
        <v>4.1429999999999998</v>
      </c>
      <c r="AK118" s="60">
        <v>0.93799999999999994</v>
      </c>
      <c r="AL118" s="60">
        <v>0.70499999999999996</v>
      </c>
      <c r="AM118" s="60">
        <v>12.122999999999999</v>
      </c>
      <c r="AN118" s="60">
        <v>9.7000000000000003E-2</v>
      </c>
      <c r="AO118" s="60">
        <v>4.3099999999999996</v>
      </c>
      <c r="AP118" s="60">
        <v>1.6E-2</v>
      </c>
      <c r="AQ118" s="60">
        <v>0.5</v>
      </c>
      <c r="AR118" s="60" t="s">
        <v>132</v>
      </c>
      <c r="AS118" s="75">
        <v>0</v>
      </c>
      <c r="AT118" s="59">
        <f t="shared" si="117"/>
        <v>12.138999999999999</v>
      </c>
      <c r="AU118" s="59">
        <f t="shared" si="118"/>
        <v>2.2730625</v>
      </c>
      <c r="AV118" s="72">
        <f>IF(C118="",0,(0.5*(_ML1*LPM)+0.5*(_ML1*HB)+0.66*(P*PR)+0.66*(_ML2*RDM)+0.66*(E*ER))*VLOOKUP(BATT,'Look Ups'!$N$3:$O$4,2,0))</f>
        <v>38.69935916</v>
      </c>
      <c r="AW118" s="73"/>
      <c r="AX118" s="74"/>
      <c r="AY118" s="71">
        <v>10.54</v>
      </c>
      <c r="AZ118" s="60">
        <v>3.6</v>
      </c>
      <c r="BA118" s="60">
        <v>3.99</v>
      </c>
      <c r="BB118" s="60">
        <v>0.02</v>
      </c>
      <c r="BC118" s="60">
        <v>9.49</v>
      </c>
      <c r="BD118" s="60"/>
      <c r="BE118" s="60"/>
      <c r="BF118" s="60">
        <v>0</v>
      </c>
      <c r="BG118" s="60"/>
      <c r="BH118" s="75">
        <v>0</v>
      </c>
      <c r="BI118" s="72">
        <f t="shared" si="144"/>
        <v>19.024667999999998</v>
      </c>
      <c r="BJ118" s="76"/>
      <c r="BK118" s="77"/>
      <c r="BL118" s="78"/>
      <c r="BM118" s="78"/>
      <c r="BN118" s="77"/>
      <c r="BO118" s="78"/>
      <c r="BP118" s="78"/>
      <c r="BQ118" s="79">
        <f t="shared" si="142"/>
        <v>0</v>
      </c>
      <c r="BR118" s="80"/>
      <c r="BS118" s="77"/>
      <c r="BT118" s="77"/>
      <c r="BU118" s="77"/>
      <c r="BV118" s="77"/>
      <c r="BW118" s="77"/>
      <c r="BX118" s="77"/>
      <c r="BY118" s="72">
        <f t="shared" si="143"/>
        <v>0</v>
      </c>
      <c r="BZ118" s="328"/>
      <c r="CA118" s="329"/>
      <c r="CB118" s="329"/>
      <c r="CC118" s="329"/>
      <c r="CD118" s="65" t="str">
        <f t="shared" si="120"/>
        <v/>
      </c>
      <c r="CE118" s="60">
        <v>0</v>
      </c>
      <c r="CF118" s="79">
        <f t="shared" si="137"/>
        <v>0</v>
      </c>
      <c r="CG118" s="71"/>
      <c r="CH118" s="423"/>
      <c r="CI118" s="423"/>
      <c r="CJ118" s="423"/>
      <c r="CK118" s="59" t="str">
        <f t="shared" si="121"/>
        <v/>
      </c>
      <c r="CL118" s="60">
        <v>0</v>
      </c>
      <c r="CM118" s="72">
        <f t="shared" si="122"/>
        <v>0</v>
      </c>
      <c r="CN118" s="81">
        <f t="shared" si="123"/>
        <v>1</v>
      </c>
      <c r="CO118" s="59">
        <f t="shared" si="124"/>
        <v>40.972421660000002</v>
      </c>
      <c r="CP118" s="59">
        <f t="shared" si="125"/>
        <v>1</v>
      </c>
      <c r="CQ118" s="59">
        <f t="shared" si="126"/>
        <v>19.024667999999998</v>
      </c>
      <c r="CR118" s="59">
        <f>IF(AV118&gt;0,'Look Ups'!$L$3,0)</f>
        <v>1</v>
      </c>
      <c r="CS118" s="59">
        <f t="shared" si="138"/>
        <v>0</v>
      </c>
      <c r="CT118" s="59">
        <f t="shared" si="139"/>
        <v>0</v>
      </c>
      <c r="CU118" s="59">
        <f t="shared" si="140"/>
        <v>0</v>
      </c>
      <c r="CV118" s="79">
        <f t="shared" si="141"/>
        <v>0</v>
      </c>
      <c r="CW118" s="82" t="str">
        <f t="shared" si="127"/>
        <v>-</v>
      </c>
      <c r="CX118" s="65" t="str">
        <f t="shared" si="128"/>
        <v>-</v>
      </c>
      <c r="CY118" s="66" t="str">
        <f t="shared" si="129"/>
        <v>MG</v>
      </c>
      <c r="CZ118" s="81">
        <f t="shared" si="130"/>
        <v>59.99708966</v>
      </c>
      <c r="DA118" s="59">
        <f t="shared" si="131"/>
        <v>0</v>
      </c>
      <c r="DB118" s="59">
        <f t="shared" si="132"/>
        <v>0</v>
      </c>
      <c r="DC118" s="59">
        <f t="shared" si="133"/>
        <v>0</v>
      </c>
      <c r="DD118" s="59">
        <f t="shared" si="134"/>
        <v>0</v>
      </c>
      <c r="DE118" s="79">
        <f t="shared" si="135"/>
        <v>62.367447055280003</v>
      </c>
      <c r="DF118" s="83">
        <f t="shared" si="136"/>
        <v>62.367447055280003</v>
      </c>
      <c r="DG118" s="412"/>
    </row>
    <row r="119" spans="2:255" ht="16.5" customHeight="1" x14ac:dyDescent="0.25">
      <c r="B119" s="414"/>
      <c r="C119" s="414" t="s">
        <v>917</v>
      </c>
      <c r="D119" s="48" t="s">
        <v>847</v>
      </c>
      <c r="E119" s="49" t="s">
        <v>918</v>
      </c>
      <c r="F119" s="415">
        <f t="shared" si="112"/>
        <v>0.8497576862028039</v>
      </c>
      <c r="G119" s="415" t="str">
        <f t="shared" ca="1" si="113"/>
        <v>Yes</v>
      </c>
      <c r="H119" s="51" t="str">
        <f t="shared" si="114"/>
        <v>Main - Genoa - Screacher - Spinnaker</v>
      </c>
      <c r="I119" s="52">
        <v>43115</v>
      </c>
      <c r="J119" s="52">
        <v>44574</v>
      </c>
      <c r="K119" s="53" t="s">
        <v>919</v>
      </c>
      <c r="L119" s="53" t="s">
        <v>299</v>
      </c>
      <c r="M119" s="54"/>
      <c r="N119" s="55" t="s">
        <v>127</v>
      </c>
      <c r="O119" s="55" t="s">
        <v>138</v>
      </c>
      <c r="P119" s="56"/>
      <c r="Q119" s="57">
        <v>8.75</v>
      </c>
      <c r="R119" s="58"/>
      <c r="S119" s="59">
        <f t="shared" si="111"/>
        <v>0.21875</v>
      </c>
      <c r="T119" s="60">
        <v>0.22</v>
      </c>
      <c r="U119" s="60">
        <v>0</v>
      </c>
      <c r="V119" s="61">
        <f t="shared" si="108"/>
        <v>8.5299999999999994</v>
      </c>
      <c r="W119" s="62">
        <f>IF(RL&gt;0,IF(RL&gt;'Look Ups'!R$7,'Look Ups'!R$8,('Look Ups'!R$3*RL^3+'Look Ups'!R$4*RL^2+'Look Ups'!R$5*RL+'Look Ups'!R$6)),0)</f>
        <v>0.29545120574100003</v>
      </c>
      <c r="X119" s="63">
        <v>1665</v>
      </c>
      <c r="Y119" s="64"/>
      <c r="Z119" s="64"/>
      <c r="AA119" s="64"/>
      <c r="AB119" s="65">
        <f t="shared" si="115"/>
        <v>1665</v>
      </c>
      <c r="AC119" s="66">
        <f t="shared" si="116"/>
        <v>1665</v>
      </c>
      <c r="AD119" s="67" t="s">
        <v>129</v>
      </c>
      <c r="AE119" s="68" t="s">
        <v>130</v>
      </c>
      <c r="AF119" s="69" t="s">
        <v>131</v>
      </c>
      <c r="AG119" s="70">
        <f>IF(C119="",0,VLOOKUP(AD119,'Look Ups'!$B$3:$C$6,2,0)*VLOOKUP(AE119,'Look Ups'!$E$3:$F$5,2,0)*VLOOKUP(AF119,'Look Ups'!$H$3:$I$7,2,0))</f>
        <v>1</v>
      </c>
      <c r="AH119" s="71">
        <v>10.71</v>
      </c>
      <c r="AI119" s="60">
        <v>10.36</v>
      </c>
      <c r="AJ119" s="60">
        <v>3.61</v>
      </c>
      <c r="AK119" s="60">
        <v>1.33</v>
      </c>
      <c r="AL119" s="60">
        <v>0.24</v>
      </c>
      <c r="AM119" s="60">
        <v>10.27</v>
      </c>
      <c r="AN119" s="60">
        <v>0.15</v>
      </c>
      <c r="AO119" s="60">
        <v>3.76</v>
      </c>
      <c r="AP119" s="60">
        <v>0</v>
      </c>
      <c r="AQ119" s="60">
        <v>0.45</v>
      </c>
      <c r="AR119" s="60" t="s">
        <v>132</v>
      </c>
      <c r="AS119" s="75">
        <v>0</v>
      </c>
      <c r="AT119" s="59">
        <f t="shared" si="117"/>
        <v>10.27</v>
      </c>
      <c r="AU119" s="59">
        <f t="shared" si="118"/>
        <v>1.7330625</v>
      </c>
      <c r="AV119" s="72">
        <f>IF(C119="",0,(0.5*(_ML1*LPM)+0.5*(_ML1*HB)+0.66*(P*PR)+0.66*(_ML2*RDM)+0.66*(E*ER))*VLOOKUP(BATT,'Look Ups'!$N$3:$O$4,2,0))+2.46</f>
        <v>31.571454000000003</v>
      </c>
      <c r="AW119" s="73"/>
      <c r="AX119" s="74"/>
      <c r="AY119" s="71">
        <v>9.06</v>
      </c>
      <c r="AZ119" s="60">
        <v>3.31</v>
      </c>
      <c r="BA119" s="60">
        <v>3.63</v>
      </c>
      <c r="BB119" s="60">
        <v>0.24</v>
      </c>
      <c r="BC119" s="60">
        <v>8.23</v>
      </c>
      <c r="BD119" s="60"/>
      <c r="BE119" s="60"/>
      <c r="BF119" s="60">
        <v>0.21</v>
      </c>
      <c r="BG119" s="60">
        <v>-3.5000000000000003E-2</v>
      </c>
      <c r="BH119" s="75"/>
      <c r="BI119" s="72">
        <f t="shared" si="144"/>
        <v>16.500684</v>
      </c>
      <c r="BJ119" s="76"/>
      <c r="BK119" s="77"/>
      <c r="BL119" s="78"/>
      <c r="BM119" s="78"/>
      <c r="BN119" s="77"/>
      <c r="BO119" s="78"/>
      <c r="BP119" s="78"/>
      <c r="BQ119" s="79">
        <f t="shared" si="142"/>
        <v>0</v>
      </c>
      <c r="BR119" s="80"/>
      <c r="BS119" s="77"/>
      <c r="BT119" s="77"/>
      <c r="BU119" s="77"/>
      <c r="BV119" s="77"/>
      <c r="BW119" s="77"/>
      <c r="BX119" s="77"/>
      <c r="BY119" s="72">
        <f t="shared" si="143"/>
        <v>0</v>
      </c>
      <c r="BZ119" s="73">
        <v>8.44</v>
      </c>
      <c r="CA119" s="60">
        <v>12.16</v>
      </c>
      <c r="CB119" s="60">
        <v>11.29</v>
      </c>
      <c r="CC119" s="60">
        <v>7.37</v>
      </c>
      <c r="CD119" s="65">
        <f t="shared" si="120"/>
        <v>87.322274881516591</v>
      </c>
      <c r="CE119" s="60">
        <v>0</v>
      </c>
      <c r="CF119" s="79">
        <f t="shared" si="137"/>
        <v>74.102000000000004</v>
      </c>
      <c r="CG119" s="71">
        <v>7.07</v>
      </c>
      <c r="CH119" s="424">
        <v>10.58</v>
      </c>
      <c r="CI119" s="424">
        <v>9.48</v>
      </c>
      <c r="CJ119" s="424">
        <v>3.67</v>
      </c>
      <c r="CK119" s="59">
        <f t="shared" si="121"/>
        <v>51.909476661951906</v>
      </c>
      <c r="CL119" s="60">
        <v>0</v>
      </c>
      <c r="CM119" s="72">
        <f t="shared" si="122"/>
        <v>36.358750000000001</v>
      </c>
      <c r="CN119" s="81">
        <f t="shared" si="123"/>
        <v>1</v>
      </c>
      <c r="CO119" s="59">
        <f t="shared" si="124"/>
        <v>33.304516500000005</v>
      </c>
      <c r="CP119" s="59">
        <f t="shared" si="125"/>
        <v>1</v>
      </c>
      <c r="CQ119" s="59">
        <f t="shared" si="126"/>
        <v>16.500684</v>
      </c>
      <c r="CR119" s="59">
        <f>IF(AV119&gt;0,'Look Ups'!$L$3,0)</f>
        <v>1</v>
      </c>
      <c r="CS119" s="59">
        <f t="shared" si="138"/>
        <v>0</v>
      </c>
      <c r="CT119" s="59">
        <f t="shared" si="139"/>
        <v>0</v>
      </c>
      <c r="CU119" s="59">
        <f t="shared" si="140"/>
        <v>0</v>
      </c>
      <c r="CV119" s="79">
        <f t="shared" si="141"/>
        <v>0</v>
      </c>
      <c r="CW119" s="82" t="str">
        <f t="shared" si="127"/>
        <v>valid</v>
      </c>
      <c r="CX119" s="65" t="str">
        <f t="shared" si="128"/>
        <v>valid</v>
      </c>
      <c r="CY119" s="66" t="str">
        <f t="shared" si="129"/>
        <v>MGScrSp</v>
      </c>
      <c r="CZ119" s="81">
        <f t="shared" si="130"/>
        <v>49.805200500000005</v>
      </c>
      <c r="DA119" s="59">
        <f t="shared" si="131"/>
        <v>17.2803948</v>
      </c>
      <c r="DB119" s="59">
        <f t="shared" si="132"/>
        <v>6.9503231000000003</v>
      </c>
      <c r="DC119" s="59">
        <f t="shared" si="133"/>
        <v>16.992388219999999</v>
      </c>
      <c r="DD119" s="59">
        <f t="shared" si="134"/>
        <v>1.0921936300000001</v>
      </c>
      <c r="DE119" s="79">
        <f t="shared" si="135"/>
        <v>51.620014410000003</v>
      </c>
      <c r="DF119" s="83">
        <f t="shared" si="136"/>
        <v>67.889782350000004</v>
      </c>
      <c r="DG119" s="412"/>
    </row>
    <row r="120" spans="2:255" ht="16.5" customHeight="1" x14ac:dyDescent="0.25">
      <c r="B120" s="414"/>
      <c r="C120" s="414" t="s">
        <v>949</v>
      </c>
      <c r="D120" s="48" t="s">
        <v>920</v>
      </c>
      <c r="E120" s="49" t="s">
        <v>947</v>
      </c>
      <c r="F120" s="415">
        <f t="shared" si="112"/>
        <v>0.78509523413736471</v>
      </c>
      <c r="G120" s="415" t="str">
        <f t="shared" ca="1" si="113"/>
        <v>Yes</v>
      </c>
      <c r="H120" s="51" t="str">
        <f t="shared" si="114"/>
        <v>Main - Genoa - Screacher - Spinnaker</v>
      </c>
      <c r="I120" s="52">
        <v>43398</v>
      </c>
      <c r="J120" s="52">
        <v>43398</v>
      </c>
      <c r="K120" s="53" t="s">
        <v>919</v>
      </c>
      <c r="L120" s="53" t="s">
        <v>841</v>
      </c>
      <c r="M120" s="54"/>
      <c r="N120" s="55" t="s">
        <v>127</v>
      </c>
      <c r="O120" s="55" t="s">
        <v>138</v>
      </c>
      <c r="P120" s="56"/>
      <c r="Q120" s="57">
        <v>7.32</v>
      </c>
      <c r="R120" s="58"/>
      <c r="S120" s="59">
        <f t="shared" si="111"/>
        <v>0.18300000000000002</v>
      </c>
      <c r="T120" s="60">
        <v>0.01</v>
      </c>
      <c r="U120" s="60"/>
      <c r="V120" s="61">
        <f t="shared" si="108"/>
        <v>7.3100000000000005</v>
      </c>
      <c r="W120" s="62">
        <f>IF(RL&gt;0,IF(RL&gt;'Look Ups'!R$7,'Look Ups'!R$8,('Look Ups'!R$3*RL^3+'Look Ups'!R$4*RL^2+'Look Ups'!R$5*RL+'Look Ups'!R$6)),0)</f>
        <v>0.29112485040300001</v>
      </c>
      <c r="X120" s="63">
        <v>1220</v>
      </c>
      <c r="Y120" s="64"/>
      <c r="Z120" s="64"/>
      <c r="AA120" s="64"/>
      <c r="AB120" s="65">
        <f t="shared" si="115"/>
        <v>1220</v>
      </c>
      <c r="AC120" s="66">
        <f t="shared" si="116"/>
        <v>1220</v>
      </c>
      <c r="AD120" s="67" t="s">
        <v>129</v>
      </c>
      <c r="AE120" s="68" t="s">
        <v>130</v>
      </c>
      <c r="AF120" s="69" t="s">
        <v>131</v>
      </c>
      <c r="AG120" s="70">
        <f>IF(C120="",0,VLOOKUP(AD120,'Look Ups'!$B$3:$C$6,2,0)*VLOOKUP(AE120,'Look Ups'!$E$3:$F$5,2,0)*VLOOKUP(AF120,'Look Ups'!$H$3:$I$7,2,0))</f>
        <v>1</v>
      </c>
      <c r="AH120" s="71">
        <v>10</v>
      </c>
      <c r="AI120" s="60">
        <v>9.68</v>
      </c>
      <c r="AJ120" s="60">
        <v>3.11</v>
      </c>
      <c r="AK120" s="60">
        <v>1.25</v>
      </c>
      <c r="AL120" s="60">
        <v>0.32500000000000001</v>
      </c>
      <c r="AM120" s="60">
        <v>9.67</v>
      </c>
      <c r="AN120" s="60">
        <v>0.02</v>
      </c>
      <c r="AO120" s="60">
        <v>3.23</v>
      </c>
      <c r="AP120" s="60">
        <v>0.04</v>
      </c>
      <c r="AQ120" s="60">
        <v>0.48</v>
      </c>
      <c r="AR120" s="60" t="s">
        <v>132</v>
      </c>
      <c r="AS120" s="75"/>
      <c r="AT120" s="59">
        <f t="shared" si="117"/>
        <v>9.7099999999999991</v>
      </c>
      <c r="AU120" s="59">
        <f t="shared" si="118"/>
        <v>1.7405999999999999</v>
      </c>
      <c r="AV120" s="72">
        <f>IF(C120="",0,(0.5*(_ML1*LPM)+0.5*(_ML1*HB)+0.66*(P*PR)+0.66*(_ML2*RDM)+0.66*(E*ER))*VLOOKUP(BATT,'Look Ups'!$N$3:$O$4,2,0))</f>
        <v>24.089275999999998</v>
      </c>
      <c r="AW120" s="73"/>
      <c r="AX120" s="74"/>
      <c r="AY120" s="261">
        <v>8.99</v>
      </c>
      <c r="AZ120" s="259">
        <v>2.6</v>
      </c>
      <c r="BA120" s="259">
        <v>2.91</v>
      </c>
      <c r="BB120" s="259">
        <v>0.115</v>
      </c>
      <c r="BC120" s="259">
        <v>8.0500000000000007</v>
      </c>
      <c r="BD120" s="259"/>
      <c r="BE120" s="259">
        <v>0.02</v>
      </c>
      <c r="BF120" s="259">
        <v>-0.11</v>
      </c>
      <c r="BG120" s="259">
        <v>0.03</v>
      </c>
      <c r="BH120" s="75"/>
      <c r="BI120" s="72">
        <f t="shared" si="144"/>
        <v>12.166371000000002</v>
      </c>
      <c r="BJ120" s="76"/>
      <c r="BK120" s="77"/>
      <c r="BL120" s="78"/>
      <c r="BM120" s="78"/>
      <c r="BN120" s="77"/>
      <c r="BO120" s="78"/>
      <c r="BP120" s="78"/>
      <c r="BQ120" s="79">
        <f t="shared" si="142"/>
        <v>0</v>
      </c>
      <c r="BR120" s="80"/>
      <c r="BS120" s="77"/>
      <c r="BT120" s="77"/>
      <c r="BU120" s="77"/>
      <c r="BV120" s="77"/>
      <c r="BW120" s="77"/>
      <c r="BX120" s="77"/>
      <c r="BY120" s="72">
        <f t="shared" si="143"/>
        <v>0</v>
      </c>
      <c r="BZ120" s="73">
        <v>6.87</v>
      </c>
      <c r="CA120" s="60">
        <v>10.7</v>
      </c>
      <c r="CB120" s="60">
        <v>9.68</v>
      </c>
      <c r="CC120" s="60">
        <v>5.5</v>
      </c>
      <c r="CD120" s="65">
        <f t="shared" si="120"/>
        <v>80.05822416302766</v>
      </c>
      <c r="CE120" s="60"/>
      <c r="CF120" s="79">
        <f t="shared" si="137"/>
        <v>49.030883333333328</v>
      </c>
      <c r="CG120" s="71">
        <v>5.2</v>
      </c>
      <c r="CH120" s="60">
        <v>9.9</v>
      </c>
      <c r="CI120" s="60">
        <v>8.7799999999999994</v>
      </c>
      <c r="CJ120" s="60">
        <v>2.62</v>
      </c>
      <c r="CK120" s="59">
        <f t="shared" si="121"/>
        <v>50.384615384615387</v>
      </c>
      <c r="CL120" s="60"/>
      <c r="CM120" s="72">
        <f t="shared" si="122"/>
        <v>24.408533333333331</v>
      </c>
      <c r="CN120" s="81">
        <f t="shared" si="123"/>
        <v>1</v>
      </c>
      <c r="CO120" s="59">
        <f t="shared" si="124"/>
        <v>25.829875999999999</v>
      </c>
      <c r="CP120" s="59">
        <f t="shared" si="125"/>
        <v>1</v>
      </c>
      <c r="CQ120" s="59">
        <f t="shared" si="126"/>
        <v>12.166371000000002</v>
      </c>
      <c r="CR120" s="59">
        <f>IF(AV120&gt;0,'Look Ups'!$L$3,0)</f>
        <v>1</v>
      </c>
      <c r="CS120" s="59">
        <f t="shared" si="138"/>
        <v>0</v>
      </c>
      <c r="CT120" s="59">
        <f t="shared" si="139"/>
        <v>0</v>
      </c>
      <c r="CU120" s="59">
        <f t="shared" si="140"/>
        <v>0</v>
      </c>
      <c r="CV120" s="79">
        <f t="shared" si="141"/>
        <v>0</v>
      </c>
      <c r="CW120" s="82" t="str">
        <f t="shared" si="127"/>
        <v>valid</v>
      </c>
      <c r="CX120" s="65" t="str">
        <f t="shared" si="128"/>
        <v>valid</v>
      </c>
      <c r="CY120" s="66" t="str">
        <f t="shared" si="129"/>
        <v>MGScrSp</v>
      </c>
      <c r="CZ120" s="81">
        <f t="shared" si="130"/>
        <v>37.996246999999997</v>
      </c>
      <c r="DA120" s="59">
        <f t="shared" si="131"/>
        <v>11.059353699999997</v>
      </c>
      <c r="DB120" s="59">
        <f t="shared" si="132"/>
        <v>4.2847568166666647</v>
      </c>
      <c r="DC120" s="59">
        <f t="shared" si="133"/>
        <v>10.87503113833333</v>
      </c>
      <c r="DD120" s="59">
        <f t="shared" si="134"/>
        <v>0.67331892833333307</v>
      </c>
      <c r="DE120" s="79">
        <f t="shared" si="135"/>
        <v>39.471905539999995</v>
      </c>
      <c r="DF120" s="83">
        <f t="shared" si="136"/>
        <v>49.544597066666654</v>
      </c>
      <c r="DG120" s="412"/>
    </row>
    <row r="121" spans="2:255" ht="16.5" customHeight="1" x14ac:dyDescent="0.25">
      <c r="B121" s="414"/>
      <c r="C121" s="414" t="s">
        <v>926</v>
      </c>
      <c r="D121" s="48" t="s">
        <v>170</v>
      </c>
      <c r="E121" s="49" t="s">
        <v>921</v>
      </c>
      <c r="F121" s="415">
        <f t="shared" si="112"/>
        <v>0.85177305599031439</v>
      </c>
      <c r="G121" s="415" t="str">
        <f t="shared" ca="1" si="113"/>
        <v>Yes</v>
      </c>
      <c r="H121" s="51" t="str">
        <f t="shared" si="114"/>
        <v>Main - Genoa - Screacher - Spinnaker</v>
      </c>
      <c r="I121" s="52">
        <v>41955</v>
      </c>
      <c r="J121" s="52">
        <v>43859</v>
      </c>
      <c r="K121" s="53" t="s">
        <v>239</v>
      </c>
      <c r="L121" s="53" t="s">
        <v>299</v>
      </c>
      <c r="M121" s="54"/>
      <c r="N121" s="55" t="s">
        <v>127</v>
      </c>
      <c r="O121" s="55" t="s">
        <v>128</v>
      </c>
      <c r="P121" s="56"/>
      <c r="Q121" s="57">
        <v>7.34</v>
      </c>
      <c r="R121" s="58"/>
      <c r="S121" s="59">
        <f t="shared" si="111"/>
        <v>0.1835</v>
      </c>
      <c r="T121" s="60">
        <v>0.15</v>
      </c>
      <c r="U121" s="60">
        <v>0</v>
      </c>
      <c r="V121" s="61">
        <f t="shared" si="108"/>
        <v>7.1899999999999995</v>
      </c>
      <c r="W121" s="62">
        <f>IF(RL&gt;0,IF(RL&gt;'Look Ups'!R$7,'Look Ups'!R$8,('Look Ups'!R$3*RL^3+'Look Ups'!R$4*RL^2+'Look Ups'!R$5*RL+'Look Ups'!R$6)),0)</f>
        <v>0.29059639364700002</v>
      </c>
      <c r="X121" s="63">
        <v>965</v>
      </c>
      <c r="Y121" s="64"/>
      <c r="Z121" s="64"/>
      <c r="AA121" s="320"/>
      <c r="AB121" s="65">
        <f t="shared" si="115"/>
        <v>965</v>
      </c>
      <c r="AC121" s="66">
        <f t="shared" si="116"/>
        <v>965</v>
      </c>
      <c r="AD121" s="67" t="s">
        <v>129</v>
      </c>
      <c r="AE121" s="68" t="s">
        <v>130</v>
      </c>
      <c r="AF121" s="69" t="s">
        <v>131</v>
      </c>
      <c r="AG121" s="70">
        <f>IF(C121="",0,VLOOKUP(AD121,'Look Ups'!$B$3:$C$6,2,0)*VLOOKUP(AE121,'Look Ups'!$E$3:$F$5,2,0)*VLOOKUP(AF121,'Look Ups'!$H$3:$I$7,2,0))</f>
        <v>1</v>
      </c>
      <c r="AH121" s="71">
        <v>10.050000000000001</v>
      </c>
      <c r="AI121" s="60">
        <v>9.6999999999999993</v>
      </c>
      <c r="AJ121" s="60">
        <v>3.15</v>
      </c>
      <c r="AK121" s="60">
        <v>1.03</v>
      </c>
      <c r="AL121" s="60">
        <v>0.3</v>
      </c>
      <c r="AM121" s="60">
        <v>9.75</v>
      </c>
      <c r="AN121" s="60">
        <v>0.08</v>
      </c>
      <c r="AO121" s="60">
        <v>3.2</v>
      </c>
      <c r="AP121" s="60">
        <v>0.12</v>
      </c>
      <c r="AQ121" s="60">
        <v>0.48</v>
      </c>
      <c r="AR121" s="60" t="s">
        <v>132</v>
      </c>
      <c r="AS121" s="75">
        <v>20</v>
      </c>
      <c r="AT121" s="59">
        <f t="shared" si="117"/>
        <v>9.8699999999999992</v>
      </c>
      <c r="AU121" s="59">
        <f t="shared" si="118"/>
        <v>1.7549999999999999</v>
      </c>
      <c r="AV121" s="72">
        <f>IF(C121="",0,(0.5*(_ML1*LPM)+0.5*(_ML1*HB)+0.66*(P*PR)+0.66*(_ML2*RDM)+0.66*(E*ER))*VLOOKUP(BATT,'Look Ups'!$N$3:$O$4,2,0))</f>
        <v>23.693340000000003</v>
      </c>
      <c r="AW121" s="73"/>
      <c r="AX121" s="74"/>
      <c r="AY121" s="71">
        <v>8.8800000000000008</v>
      </c>
      <c r="AZ121" s="60">
        <v>2.61</v>
      </c>
      <c r="BA121" s="60">
        <v>2.92</v>
      </c>
      <c r="BB121" s="60">
        <v>0.16</v>
      </c>
      <c r="BC121" s="60">
        <v>8.0299999999999994</v>
      </c>
      <c r="BD121" s="60"/>
      <c r="BE121" s="60">
        <v>0</v>
      </c>
      <c r="BF121" s="60">
        <v>0.05</v>
      </c>
      <c r="BG121" s="60">
        <v>0.15</v>
      </c>
      <c r="BH121" s="75" t="s">
        <v>485</v>
      </c>
      <c r="BI121" s="72">
        <f t="shared" si="144"/>
        <v>13.040861999999999</v>
      </c>
      <c r="BJ121" s="76"/>
      <c r="BK121" s="77"/>
      <c r="BL121" s="78"/>
      <c r="BM121" s="78"/>
      <c r="BN121" s="77"/>
      <c r="BO121" s="78"/>
      <c r="BP121" s="78"/>
      <c r="BQ121" s="79">
        <f t="shared" si="142"/>
        <v>0</v>
      </c>
      <c r="BR121" s="80"/>
      <c r="BS121" s="77"/>
      <c r="BT121" s="77"/>
      <c r="BU121" s="77"/>
      <c r="BV121" s="77"/>
      <c r="BW121" s="77"/>
      <c r="BX121" s="77"/>
      <c r="BY121" s="72">
        <f t="shared" si="143"/>
        <v>0</v>
      </c>
      <c r="BZ121" s="73">
        <v>6.86</v>
      </c>
      <c r="CA121" s="60">
        <v>11.18</v>
      </c>
      <c r="CB121" s="60">
        <v>10.07</v>
      </c>
      <c r="CC121" s="60">
        <v>5.72</v>
      </c>
      <c r="CD121" s="65">
        <f t="shared" si="120"/>
        <v>83.381924198250729</v>
      </c>
      <c r="CE121" s="60">
        <v>0</v>
      </c>
      <c r="CF121" s="79">
        <f t="shared" si="137"/>
        <v>52.664583333333333</v>
      </c>
      <c r="CG121" s="71">
        <v>5.6</v>
      </c>
      <c r="CH121" s="60">
        <v>10</v>
      </c>
      <c r="CI121" s="60">
        <v>8.86</v>
      </c>
      <c r="CJ121" s="60">
        <v>2.9</v>
      </c>
      <c r="CK121" s="59">
        <f t="shared" si="121"/>
        <v>51.785714285714292</v>
      </c>
      <c r="CL121" s="60">
        <v>0</v>
      </c>
      <c r="CM121" s="72">
        <f t="shared" si="122"/>
        <v>27.032666666666664</v>
      </c>
      <c r="CN121" s="81">
        <f t="shared" si="123"/>
        <v>1</v>
      </c>
      <c r="CO121" s="59">
        <f t="shared" si="124"/>
        <v>25.448340000000002</v>
      </c>
      <c r="CP121" s="59">
        <f t="shared" si="125"/>
        <v>1</v>
      </c>
      <c r="CQ121" s="59">
        <f t="shared" si="126"/>
        <v>13.040861999999999</v>
      </c>
      <c r="CR121" s="59">
        <f>IF(AV121&gt;0,'Look Ups'!$L$3,0)</f>
        <v>1</v>
      </c>
      <c r="CS121" s="59">
        <f t="shared" si="138"/>
        <v>0</v>
      </c>
      <c r="CT121" s="59">
        <f t="shared" si="139"/>
        <v>0</v>
      </c>
      <c r="CU121" s="59">
        <f t="shared" si="140"/>
        <v>0</v>
      </c>
      <c r="CV121" s="79">
        <f t="shared" si="141"/>
        <v>0</v>
      </c>
      <c r="CW121" s="82" t="str">
        <f t="shared" si="127"/>
        <v>valid</v>
      </c>
      <c r="CX121" s="65" t="str">
        <f t="shared" si="128"/>
        <v>valid</v>
      </c>
      <c r="CY121" s="66" t="str">
        <f t="shared" si="129"/>
        <v>MGScrSp</v>
      </c>
      <c r="CZ121" s="81">
        <f t="shared" si="130"/>
        <v>38.489201999999999</v>
      </c>
      <c r="DA121" s="59">
        <f t="shared" si="131"/>
        <v>11.8871164</v>
      </c>
      <c r="DB121" s="59">
        <f t="shared" si="132"/>
        <v>4.8971316333333323</v>
      </c>
      <c r="DC121" s="59">
        <f t="shared" si="133"/>
        <v>11.688997793333334</v>
      </c>
      <c r="DD121" s="59">
        <f t="shared" si="134"/>
        <v>0.76954925666666663</v>
      </c>
      <c r="DE121" s="79">
        <f t="shared" si="135"/>
        <v>39.829209624000001</v>
      </c>
      <c r="DF121" s="83">
        <f t="shared" si="136"/>
        <v>50.947749049999999</v>
      </c>
      <c r="DG121" s="412"/>
    </row>
    <row r="122" spans="2:255" ht="16.5" customHeight="1" x14ac:dyDescent="0.25">
      <c r="B122" s="414"/>
      <c r="C122" s="414" t="s">
        <v>492</v>
      </c>
      <c r="D122" s="48" t="s">
        <v>493</v>
      </c>
      <c r="E122" s="49" t="s">
        <v>494</v>
      </c>
      <c r="F122" s="415">
        <f t="shared" si="112"/>
        <v>1.0645251790324184</v>
      </c>
      <c r="G122" s="415" t="str">
        <f t="shared" ca="1" si="113"/>
        <v>No</v>
      </c>
      <c r="H122" s="51" t="str">
        <f t="shared" si="114"/>
        <v>Main - Genoa - Spinnaker</v>
      </c>
      <c r="I122" s="52">
        <v>40504</v>
      </c>
      <c r="J122" s="52">
        <v>40504</v>
      </c>
      <c r="K122" s="53"/>
      <c r="L122" s="53"/>
      <c r="M122" s="54"/>
      <c r="N122" s="55" t="s">
        <v>149</v>
      </c>
      <c r="O122" s="55"/>
      <c r="P122" s="56"/>
      <c r="Q122" s="57">
        <v>9.26</v>
      </c>
      <c r="R122" s="58"/>
      <c r="S122" s="59">
        <f t="shared" si="111"/>
        <v>0.23150000000000001</v>
      </c>
      <c r="T122" s="60">
        <v>0.01</v>
      </c>
      <c r="U122" s="60">
        <v>0</v>
      </c>
      <c r="V122" s="61">
        <f t="shared" si="108"/>
        <v>9.25</v>
      </c>
      <c r="W122" s="62">
        <f>IF(RL&gt;0,IF(RL&gt;'Look Ups'!R$7,'Look Ups'!R$8,('Look Ups'!R$3*RL^3+'Look Ups'!R$4*RL^2+'Look Ups'!R$5*RL+'Look Ups'!R$6)),0)</f>
        <v>0.29720545312500002</v>
      </c>
      <c r="X122" s="63">
        <v>1100</v>
      </c>
      <c r="Y122" s="64"/>
      <c r="Z122" s="178"/>
      <c r="AA122" s="64"/>
      <c r="AB122" s="65">
        <f t="shared" si="115"/>
        <v>1100</v>
      </c>
      <c r="AC122" s="66">
        <f t="shared" si="116"/>
        <v>1100</v>
      </c>
      <c r="AD122" s="67" t="s">
        <v>129</v>
      </c>
      <c r="AE122" s="68" t="s">
        <v>130</v>
      </c>
      <c r="AF122" s="69" t="s">
        <v>131</v>
      </c>
      <c r="AG122" s="70">
        <f>IF(C122="",0,VLOOKUP(AD122,'Look Ups'!$B$3:$C$6,2,0)*VLOOKUP(AE122,'Look Ups'!$E$3:$F$5,2,0)*VLOOKUP(AF122,'Look Ups'!$H$3:$I$7,2,0))</f>
        <v>1</v>
      </c>
      <c r="AH122" s="71">
        <v>13.68</v>
      </c>
      <c r="AI122" s="60">
        <v>13.5</v>
      </c>
      <c r="AJ122" s="60">
        <v>3.67</v>
      </c>
      <c r="AK122" s="60">
        <v>1.46</v>
      </c>
      <c r="AL122" s="60">
        <v>0.17</v>
      </c>
      <c r="AM122" s="60">
        <v>13.9</v>
      </c>
      <c r="AN122" s="60">
        <v>0.11</v>
      </c>
      <c r="AO122" s="60">
        <v>3.69</v>
      </c>
      <c r="AP122" s="60">
        <v>3.5000000000000003E-2</v>
      </c>
      <c r="AQ122" s="60">
        <v>0.85</v>
      </c>
      <c r="AR122" s="60" t="s">
        <v>132</v>
      </c>
      <c r="AS122" s="75">
        <v>0</v>
      </c>
      <c r="AT122" s="59">
        <f t="shared" si="117"/>
        <v>13.935</v>
      </c>
      <c r="AU122" s="59">
        <f t="shared" si="118"/>
        <v>4.430625</v>
      </c>
      <c r="AV122" s="72">
        <f>IF(C122="",0,(0.5*(_ML1*LPM)+0.5*(_ML1*HB)+0.66*(P*PR)+0.66*(_ML2*RDM)+0.66*(E*ER))*VLOOKUP(BATT,'Look Ups'!$N$3:$O$4,2,0))</f>
        <v>37.698278999999999</v>
      </c>
      <c r="AW122" s="73"/>
      <c r="AX122" s="74"/>
      <c r="AY122" s="71">
        <v>10.36</v>
      </c>
      <c r="AZ122" s="60">
        <v>3.17</v>
      </c>
      <c r="BA122" s="60">
        <v>3.36</v>
      </c>
      <c r="BB122" s="60">
        <v>0.03</v>
      </c>
      <c r="BC122" s="60">
        <v>9.59</v>
      </c>
      <c r="BD122" s="60">
        <v>9.51</v>
      </c>
      <c r="BE122" s="60">
        <v>0.52</v>
      </c>
      <c r="BF122" s="60">
        <v>0.04</v>
      </c>
      <c r="BG122" s="60">
        <v>0.06</v>
      </c>
      <c r="BH122" s="75">
        <v>0</v>
      </c>
      <c r="BI122" s="72">
        <f t="shared" si="144"/>
        <v>19.641848000000003</v>
      </c>
      <c r="BJ122" s="76"/>
      <c r="BK122" s="77"/>
      <c r="BL122" s="78"/>
      <c r="BM122" s="78"/>
      <c r="BN122" s="77"/>
      <c r="BO122" s="78"/>
      <c r="BP122" s="78"/>
      <c r="BQ122" s="79">
        <f t="shared" si="142"/>
        <v>0</v>
      </c>
      <c r="BR122" s="80"/>
      <c r="BS122" s="77"/>
      <c r="BT122" s="77"/>
      <c r="BU122" s="77"/>
      <c r="BV122" s="77"/>
      <c r="BW122" s="77"/>
      <c r="BX122" s="77"/>
      <c r="BY122" s="72">
        <f t="shared" si="143"/>
        <v>0</v>
      </c>
      <c r="BZ122" s="73">
        <v>7.65</v>
      </c>
      <c r="CA122" s="60">
        <v>16.18</v>
      </c>
      <c r="CB122" s="60">
        <v>14.47</v>
      </c>
      <c r="CC122" s="60">
        <v>5.77</v>
      </c>
      <c r="CD122" s="65">
        <f t="shared" si="120"/>
        <v>75.424836601307177</v>
      </c>
      <c r="CE122" s="60">
        <v>0</v>
      </c>
      <c r="CF122" s="79">
        <f t="shared" si="137"/>
        <v>78.489541666666653</v>
      </c>
      <c r="CG122" s="71"/>
      <c r="CH122" s="60"/>
      <c r="CI122" s="60"/>
      <c r="CJ122" s="60"/>
      <c r="CK122" s="59" t="str">
        <f t="shared" si="121"/>
        <v/>
      </c>
      <c r="CL122" s="60">
        <v>0</v>
      </c>
      <c r="CM122" s="72">
        <f t="shared" si="122"/>
        <v>0</v>
      </c>
      <c r="CN122" s="81">
        <f t="shared" si="123"/>
        <v>1</v>
      </c>
      <c r="CO122" s="59">
        <f t="shared" si="124"/>
        <v>42.128903999999999</v>
      </c>
      <c r="CP122" s="59">
        <f t="shared" si="125"/>
        <v>1</v>
      </c>
      <c r="CQ122" s="59">
        <f t="shared" si="126"/>
        <v>19.641848000000003</v>
      </c>
      <c r="CR122" s="59">
        <f>IF(AV122&gt;0,'Look Ups'!$L$3,0)</f>
        <v>1</v>
      </c>
      <c r="CS122" s="59">
        <f t="shared" si="138"/>
        <v>0</v>
      </c>
      <c r="CT122" s="59">
        <f t="shared" si="139"/>
        <v>0</v>
      </c>
      <c r="CU122" s="59">
        <f t="shared" si="140"/>
        <v>0</v>
      </c>
      <c r="CV122" s="79">
        <f t="shared" si="141"/>
        <v>0</v>
      </c>
      <c r="CW122" s="82" t="str">
        <f t="shared" si="127"/>
        <v>-</v>
      </c>
      <c r="CX122" s="65" t="str">
        <f t="shared" si="128"/>
        <v>valid</v>
      </c>
      <c r="CY122" s="66" t="str">
        <f t="shared" si="129"/>
        <v>MGSp</v>
      </c>
      <c r="CZ122" s="81">
        <f t="shared" si="130"/>
        <v>61.770752000000002</v>
      </c>
      <c r="DA122" s="59">
        <f t="shared" si="131"/>
        <v>17.654308099999994</v>
      </c>
      <c r="DB122" s="59">
        <f t="shared" si="132"/>
        <v>0</v>
      </c>
      <c r="DC122" s="59">
        <f t="shared" si="133"/>
        <v>17.360069631666661</v>
      </c>
      <c r="DD122" s="59">
        <f t="shared" si="134"/>
        <v>0</v>
      </c>
      <c r="DE122" s="79">
        <f t="shared" si="135"/>
        <v>64.199354048000004</v>
      </c>
      <c r="DF122" s="83">
        <f t="shared" si="136"/>
        <v>79.425060099999996</v>
      </c>
      <c r="DG122" s="412"/>
    </row>
    <row r="123" spans="2:255" ht="16.5" customHeight="1" x14ac:dyDescent="0.25">
      <c r="B123" s="414"/>
      <c r="C123" s="414" t="s">
        <v>497</v>
      </c>
      <c r="D123" s="48" t="s">
        <v>498</v>
      </c>
      <c r="E123" s="49" t="s">
        <v>499</v>
      </c>
      <c r="F123" s="415">
        <f t="shared" si="112"/>
        <v>0.71251923232173453</v>
      </c>
      <c r="G123" s="415" t="str">
        <f t="shared" ca="1" si="113"/>
        <v>Yes</v>
      </c>
      <c r="H123" s="51" t="str">
        <f t="shared" si="114"/>
        <v>Main - Genoa - Screacher - Spinnaker</v>
      </c>
      <c r="I123" s="52">
        <v>41659</v>
      </c>
      <c r="J123" s="52">
        <v>43140</v>
      </c>
      <c r="K123" s="53" t="s">
        <v>468</v>
      </c>
      <c r="L123" s="53" t="s">
        <v>841</v>
      </c>
      <c r="M123" s="54"/>
      <c r="N123" s="55" t="s">
        <v>149</v>
      </c>
      <c r="O123" s="55"/>
      <c r="P123" s="56"/>
      <c r="Q123" s="57">
        <v>13.002000000000001</v>
      </c>
      <c r="R123" s="58">
        <v>0</v>
      </c>
      <c r="S123" s="59">
        <f t="shared" si="111"/>
        <v>0.32505000000000006</v>
      </c>
      <c r="T123" s="60">
        <v>0</v>
      </c>
      <c r="U123" s="60">
        <v>0.34</v>
      </c>
      <c r="V123" s="61">
        <f t="shared" si="108"/>
        <v>12.662000000000001</v>
      </c>
      <c r="W123" s="62">
        <f>IF(RL&gt;0,IF(RL&gt;'Look Ups'!R$7,'Look Ups'!R$8,('Look Ups'!R$3*RL^3+'Look Ups'!R$4*RL^2+'Look Ups'!R$5*RL+'Look Ups'!R$6)),0)</f>
        <v>0.3</v>
      </c>
      <c r="X123" s="63">
        <f>10291-170.3</f>
        <v>10120.700000000001</v>
      </c>
      <c r="Y123" s="64"/>
      <c r="Z123" s="64"/>
      <c r="AA123" s="64"/>
      <c r="AB123" s="65">
        <f t="shared" si="115"/>
        <v>10120.700000000001</v>
      </c>
      <c r="AC123" s="66">
        <f t="shared" si="116"/>
        <v>10120.700000000001</v>
      </c>
      <c r="AD123" s="67" t="s">
        <v>129</v>
      </c>
      <c r="AE123" s="68" t="s">
        <v>130</v>
      </c>
      <c r="AF123" s="228" t="s">
        <v>161</v>
      </c>
      <c r="AG123" s="70">
        <f>IF(C123="",0,VLOOKUP(AD123,'Look Ups'!$B$3:$C$6,2,0)*VLOOKUP(AE123,'Look Ups'!$E$3:$F$5,2,0)*VLOOKUP(AF123,'Look Ups'!$H$3:$I$7,2,0))</f>
        <v>0.99</v>
      </c>
      <c r="AH123" s="71">
        <v>15.62</v>
      </c>
      <c r="AI123" s="60">
        <v>15.62</v>
      </c>
      <c r="AJ123" s="60">
        <v>5.6</v>
      </c>
      <c r="AK123" s="60">
        <v>0.22</v>
      </c>
      <c r="AL123" s="60">
        <v>1.55</v>
      </c>
      <c r="AM123" s="60">
        <v>15.87</v>
      </c>
      <c r="AN123" s="60">
        <v>0.1</v>
      </c>
      <c r="AO123" s="60">
        <v>5.67</v>
      </c>
      <c r="AP123" s="60">
        <v>0</v>
      </c>
      <c r="AQ123" s="60"/>
      <c r="AR123" s="60" t="s">
        <v>132</v>
      </c>
      <c r="AS123" s="75"/>
      <c r="AT123" s="242">
        <f t="shared" si="117"/>
        <v>15.87</v>
      </c>
      <c r="AU123" s="59">
        <f t="shared" si="118"/>
        <v>0</v>
      </c>
      <c r="AV123" s="72">
        <f>IF(C123="",0,(0.5*(_ML1*LPM)+0.5*(_ML1*HB)+0.66*(P*PR)+0.66*(_ML2*RDM)+0.66*(E*ER))*VLOOKUP(BATT,'Look Ups'!$N$3:$O$4,2,0))</f>
        <v>62.480879999999999</v>
      </c>
      <c r="AW123" s="73"/>
      <c r="AX123" s="74"/>
      <c r="AY123" s="71">
        <v>13.8</v>
      </c>
      <c r="AZ123" s="60">
        <v>6.45</v>
      </c>
      <c r="BA123" s="60">
        <v>7.05</v>
      </c>
      <c r="BB123" s="60">
        <v>0.28000000000000003</v>
      </c>
      <c r="BC123" s="60">
        <v>12.4</v>
      </c>
      <c r="BD123" s="60"/>
      <c r="BE123" s="60">
        <v>0.06</v>
      </c>
      <c r="BF123" s="60">
        <v>-0.34499999999999997</v>
      </c>
      <c r="BG123" s="60">
        <v>0.25</v>
      </c>
      <c r="BH123" s="75"/>
      <c r="BI123" s="72">
        <f t="shared" si="144"/>
        <v>48.456840000000007</v>
      </c>
      <c r="BJ123" s="76"/>
      <c r="BK123" s="77"/>
      <c r="BL123" s="78"/>
      <c r="BM123" s="78"/>
      <c r="BN123" s="77"/>
      <c r="BO123" s="78"/>
      <c r="BP123" s="78"/>
      <c r="BQ123" s="79">
        <v>0</v>
      </c>
      <c r="BR123" s="80"/>
      <c r="BS123" s="77"/>
      <c r="BT123" s="77"/>
      <c r="BU123" s="77"/>
      <c r="BV123" s="77"/>
      <c r="BW123" s="77"/>
      <c r="BX123" s="77"/>
      <c r="BY123" s="72"/>
      <c r="BZ123" s="73">
        <v>9.85</v>
      </c>
      <c r="CA123" s="60">
        <v>18.36</v>
      </c>
      <c r="CB123" s="60">
        <v>16.05</v>
      </c>
      <c r="CC123" s="60">
        <v>10.29</v>
      </c>
      <c r="CD123" s="65">
        <f t="shared" si="120"/>
        <v>104.46700507614213</v>
      </c>
      <c r="CE123" s="60"/>
      <c r="CF123" s="79">
        <f t="shared" si="137"/>
        <v>146.27117499999997</v>
      </c>
      <c r="CG123" s="71">
        <v>8.67</v>
      </c>
      <c r="CH123" s="60">
        <v>16.23</v>
      </c>
      <c r="CI123" s="60">
        <v>14.82</v>
      </c>
      <c r="CJ123" s="60">
        <v>4.54</v>
      </c>
      <c r="CK123" s="59">
        <f t="shared" si="121"/>
        <v>52.364475201845437</v>
      </c>
      <c r="CL123" s="60"/>
      <c r="CM123" s="72">
        <f t="shared" si="122"/>
        <v>69.422625000000011</v>
      </c>
      <c r="CN123" s="81">
        <f t="shared" si="123"/>
        <v>1</v>
      </c>
      <c r="CO123" s="59">
        <f t="shared" si="124"/>
        <v>62.480879999999999</v>
      </c>
      <c r="CP123" s="59">
        <f t="shared" si="125"/>
        <v>1</v>
      </c>
      <c r="CQ123" s="59">
        <f t="shared" si="126"/>
        <v>48.456840000000007</v>
      </c>
      <c r="CR123" s="59">
        <f>IF(AV123&gt;0,'Look Ups'!$L$3,0)</f>
        <v>1</v>
      </c>
      <c r="CS123" s="242">
        <f t="shared" si="138"/>
        <v>0</v>
      </c>
      <c r="CT123" s="242">
        <f t="shared" si="139"/>
        <v>0</v>
      </c>
      <c r="CU123" s="242">
        <f t="shared" si="140"/>
        <v>0</v>
      </c>
      <c r="CV123" s="251">
        <f t="shared" si="141"/>
        <v>0</v>
      </c>
      <c r="CW123" s="82" t="str">
        <f t="shared" si="127"/>
        <v>valid</v>
      </c>
      <c r="CX123" s="65" t="str">
        <f t="shared" si="128"/>
        <v>valid</v>
      </c>
      <c r="CY123" s="66" t="str">
        <f t="shared" si="129"/>
        <v>MGScrSp</v>
      </c>
      <c r="CZ123" s="81">
        <f t="shared" si="130"/>
        <v>110.93772000000001</v>
      </c>
      <c r="DA123" s="59">
        <f t="shared" si="131"/>
        <v>29.344300499999989</v>
      </c>
      <c r="DB123" s="59">
        <f t="shared" si="132"/>
        <v>7.3380247500000007</v>
      </c>
      <c r="DC123" s="59">
        <f t="shared" si="133"/>
        <v>28.85522882499999</v>
      </c>
      <c r="DD123" s="59">
        <f t="shared" si="134"/>
        <v>1.1531181750000001</v>
      </c>
      <c r="DE123" s="79">
        <f t="shared" si="135"/>
        <v>112.45231632000001</v>
      </c>
      <c r="DF123" s="83">
        <f t="shared" si="136"/>
        <v>140.946067</v>
      </c>
      <c r="DG123" s="412"/>
    </row>
    <row r="124" spans="2:255" ht="16.25" customHeight="1" x14ac:dyDescent="0.25">
      <c r="B124" s="414"/>
      <c r="C124" s="414" t="s">
        <v>1083</v>
      </c>
      <c r="D124" s="48" t="s">
        <v>1080</v>
      </c>
      <c r="E124" s="49" t="s">
        <v>1081</v>
      </c>
      <c r="F124" s="415">
        <f t="shared" si="112"/>
        <v>0.88997592548036109</v>
      </c>
      <c r="G124" s="415" t="str">
        <f t="shared" ca="1" si="113"/>
        <v>Yes</v>
      </c>
      <c r="H124" s="51" t="str">
        <f t="shared" si="114"/>
        <v>Main - Genoa - Spinnaker</v>
      </c>
      <c r="I124" s="52">
        <v>44648</v>
      </c>
      <c r="J124" s="52">
        <v>44663</v>
      </c>
      <c r="K124" s="53" t="s">
        <v>614</v>
      </c>
      <c r="L124" s="53" t="s">
        <v>299</v>
      </c>
      <c r="M124" s="54"/>
      <c r="N124" s="55" t="s">
        <v>149</v>
      </c>
      <c r="O124" s="55" t="s">
        <v>1082</v>
      </c>
      <c r="P124" s="56">
        <v>6.7</v>
      </c>
      <c r="Q124" s="57">
        <v>13.19</v>
      </c>
      <c r="R124" s="58"/>
      <c r="S124" s="59">
        <f t="shared" si="111"/>
        <v>0.32974999999999999</v>
      </c>
      <c r="T124" s="60">
        <v>0</v>
      </c>
      <c r="U124" s="60"/>
      <c r="V124" s="61">
        <f t="shared" si="108"/>
        <v>13.19</v>
      </c>
      <c r="W124" s="62">
        <f>IF(RL&gt;0,IF(RL&gt;'Look Ups'!R$7,'Look Ups'!R$8,('Look Ups'!R$3*RL^3+'Look Ups'!R$4*RL^2+'Look Ups'!R$5*RL+'Look Ups'!R$6)),0)</f>
        <v>0.3</v>
      </c>
      <c r="X124" s="63">
        <v>4330</v>
      </c>
      <c r="Y124" s="64">
        <v>66</v>
      </c>
      <c r="Z124" s="64"/>
      <c r="AA124" s="64"/>
      <c r="AB124" s="65">
        <f t="shared" si="115"/>
        <v>4396</v>
      </c>
      <c r="AC124" s="66">
        <f t="shared" si="116"/>
        <v>4396</v>
      </c>
      <c r="AD124" s="67" t="s">
        <v>129</v>
      </c>
      <c r="AE124" s="68" t="s">
        <v>130</v>
      </c>
      <c r="AF124" s="69" t="s">
        <v>131</v>
      </c>
      <c r="AG124" s="70">
        <f>IF(C124="",0,VLOOKUP(AD124,'Look Ups'!$B$3:$C$6,2,0)*VLOOKUP(AE124,'Look Ups'!$E$3:$F$5,2,0)*VLOOKUP(AF124,'Look Ups'!$H$3:$I$7,2,0))</f>
        <v>1</v>
      </c>
      <c r="AH124" s="71">
        <v>15.94</v>
      </c>
      <c r="AI124" s="60">
        <v>15.65</v>
      </c>
      <c r="AJ124" s="60">
        <v>4.8899999999999997</v>
      </c>
      <c r="AK124" s="60">
        <v>1.675</v>
      </c>
      <c r="AL124" s="60">
        <v>0.44</v>
      </c>
      <c r="AM124" s="60">
        <v>15.75</v>
      </c>
      <c r="AN124" s="60">
        <v>0.1</v>
      </c>
      <c r="AO124" s="60">
        <v>5.03</v>
      </c>
      <c r="AP124" s="60">
        <v>0</v>
      </c>
      <c r="AQ124" s="60">
        <v>0.63</v>
      </c>
      <c r="AR124" s="60" t="s">
        <v>132</v>
      </c>
      <c r="AS124" s="75" t="s">
        <v>1084</v>
      </c>
      <c r="AT124" s="59">
        <f t="shared" si="117"/>
        <v>15.75</v>
      </c>
      <c r="AU124" s="59">
        <f t="shared" si="118"/>
        <v>3.7209375000000002</v>
      </c>
      <c r="AV124" s="72">
        <f>IF(C124="",0,(0.5*(_ML1*LPM)+0.5*(_ML1*HB)+0.66*(P*PR)+0.66*(_ML2*RDM)+0.66*(E*ER))*VLOOKUP(BATT,'Look Ups'!$N$3:$O$4,2,0))</f>
        <v>57.907309999999995</v>
      </c>
      <c r="AW124" s="73"/>
      <c r="AX124" s="74"/>
      <c r="AY124" s="71">
        <v>13.95</v>
      </c>
      <c r="AZ124" s="60">
        <v>4.33</v>
      </c>
      <c r="BA124" s="60">
        <v>4.7</v>
      </c>
      <c r="BB124" s="60">
        <v>0.16</v>
      </c>
      <c r="BC124" s="60">
        <v>15.7</v>
      </c>
      <c r="BD124" s="60"/>
      <c r="BE124" s="60"/>
      <c r="BF124" s="60"/>
      <c r="BG124" s="60">
        <v>-0.14699999999999999</v>
      </c>
      <c r="BH124" s="75"/>
      <c r="BI124" s="72">
        <f t="shared" si="144"/>
        <v>29.344641000000003</v>
      </c>
      <c r="BJ124" s="76"/>
      <c r="BK124" s="77"/>
      <c r="BL124" s="78"/>
      <c r="BM124" s="78"/>
      <c r="BN124" s="77"/>
      <c r="BO124" s="78"/>
      <c r="BP124" s="78"/>
      <c r="BQ124" s="79"/>
      <c r="BR124" s="80"/>
      <c r="BS124" s="77"/>
      <c r="BT124" s="77"/>
      <c r="BU124" s="77"/>
      <c r="BV124" s="77"/>
      <c r="BW124" s="77"/>
      <c r="BX124" s="77"/>
      <c r="BY124" s="72"/>
      <c r="BZ124" s="73">
        <v>9.83</v>
      </c>
      <c r="CA124" s="60">
        <v>15.39</v>
      </c>
      <c r="CB124" s="60">
        <v>17.649999999999999</v>
      </c>
      <c r="CC124" s="60">
        <v>8.4</v>
      </c>
      <c r="CD124" s="65">
        <f t="shared" si="120"/>
        <v>85.452695829094623</v>
      </c>
      <c r="CE124" s="60"/>
      <c r="CF124" s="79">
        <f t="shared" si="137"/>
        <v>119.57726666666667</v>
      </c>
      <c r="CG124" s="71"/>
      <c r="CH124" s="60"/>
      <c r="CI124" s="60"/>
      <c r="CJ124" s="60"/>
      <c r="CK124" s="59" t="str">
        <f t="shared" si="121"/>
        <v/>
      </c>
      <c r="CL124" s="60"/>
      <c r="CM124" s="72">
        <f t="shared" si="122"/>
        <v>0</v>
      </c>
      <c r="CN124" s="81">
        <f t="shared" si="123"/>
        <v>1</v>
      </c>
      <c r="CO124" s="59">
        <f t="shared" si="124"/>
        <v>61.628247499999993</v>
      </c>
      <c r="CP124" s="59">
        <f t="shared" si="125"/>
        <v>1</v>
      </c>
      <c r="CQ124" s="59">
        <f t="shared" si="126"/>
        <v>29.344641000000003</v>
      </c>
      <c r="CR124" s="59">
        <f>IF(AV124&gt;0,'Look Ups'!$L$3,0)</f>
        <v>1</v>
      </c>
      <c r="CS124" s="59"/>
      <c r="CT124" s="59"/>
      <c r="CU124" s="59"/>
      <c r="CV124" s="79"/>
      <c r="CW124" s="82" t="str">
        <f t="shared" si="127"/>
        <v>-</v>
      </c>
      <c r="CX124" s="65" t="str">
        <f t="shared" si="128"/>
        <v>valid</v>
      </c>
      <c r="CY124" s="66" t="str">
        <f t="shared" si="129"/>
        <v>MGSp</v>
      </c>
      <c r="CZ124" s="81">
        <f t="shared" si="130"/>
        <v>90.972888499999996</v>
      </c>
      <c r="DA124" s="59">
        <f t="shared" si="131"/>
        <v>27.069787700000003</v>
      </c>
      <c r="DB124" s="59">
        <f t="shared" si="132"/>
        <v>0</v>
      </c>
      <c r="DC124" s="59">
        <f t="shared" si="133"/>
        <v>26.618624571666668</v>
      </c>
      <c r="DD124" s="59">
        <f t="shared" si="134"/>
        <v>0</v>
      </c>
      <c r="DE124" s="79">
        <f t="shared" si="135"/>
        <v>94.459518001999996</v>
      </c>
      <c r="DF124" s="83">
        <f t="shared" si="136"/>
        <v>118.0426762</v>
      </c>
      <c r="DG124" s="412"/>
    </row>
    <row r="125" spans="2:255" ht="16.25" customHeight="1" x14ac:dyDescent="0.25">
      <c r="B125" s="414"/>
      <c r="C125" s="414" t="s">
        <v>804</v>
      </c>
      <c r="D125" s="48" t="s">
        <v>1007</v>
      </c>
      <c r="E125" s="49" t="s">
        <v>1008</v>
      </c>
      <c r="F125" s="415">
        <f t="shared" si="112"/>
        <v>1.0664117467392629</v>
      </c>
      <c r="G125" s="415" t="str">
        <f t="shared" ca="1" si="113"/>
        <v>Yes</v>
      </c>
      <c r="H125" s="51" t="str">
        <f t="shared" si="114"/>
        <v>Main - Genoa - Screacher - Spinnaker</v>
      </c>
      <c r="I125" s="52">
        <v>43869</v>
      </c>
      <c r="J125" s="52">
        <v>44951</v>
      </c>
      <c r="K125" s="53" t="s">
        <v>1002</v>
      </c>
      <c r="L125" s="53" t="s">
        <v>299</v>
      </c>
      <c r="M125" s="54"/>
      <c r="N125" s="55" t="s">
        <v>127</v>
      </c>
      <c r="O125" s="55" t="s">
        <v>167</v>
      </c>
      <c r="P125" s="56"/>
      <c r="Q125" s="57">
        <v>12.85</v>
      </c>
      <c r="R125" s="58"/>
      <c r="S125" s="59">
        <f t="shared" si="111"/>
        <v>0.32125000000000004</v>
      </c>
      <c r="T125" s="60"/>
      <c r="U125" s="60"/>
      <c r="V125" s="61">
        <f t="shared" si="108"/>
        <v>12.85</v>
      </c>
      <c r="W125" s="62">
        <f>IF(RL&gt;0,IF(RL&gt;'Look Ups'!R$7,'Look Ups'!R$8,('Look Ups'!R$3*RL^3+'Look Ups'!R$4*RL^2+'Look Ups'!R$5*RL+'Look Ups'!R$6)),0)</f>
        <v>0.3</v>
      </c>
      <c r="X125" s="63">
        <v>3775</v>
      </c>
      <c r="Y125" s="64"/>
      <c r="Z125" s="64"/>
      <c r="AA125" s="64"/>
      <c r="AB125" s="65">
        <f t="shared" si="115"/>
        <v>3775</v>
      </c>
      <c r="AC125" s="66">
        <f t="shared" si="116"/>
        <v>3775</v>
      </c>
      <c r="AD125" s="67" t="s">
        <v>129</v>
      </c>
      <c r="AE125" s="68" t="s">
        <v>130</v>
      </c>
      <c r="AF125" s="69" t="s">
        <v>131</v>
      </c>
      <c r="AG125" s="70">
        <f>IF(C125="",0,VLOOKUP(AD125,'Look Ups'!$B$3:$C$6,2,0)*VLOOKUP(AE125,'Look Ups'!$E$3:$F$5,2,0)*VLOOKUP(AF125,'Look Ups'!$H$3:$I$7,2,0))</f>
        <v>1</v>
      </c>
      <c r="AH125" s="71">
        <v>18.53</v>
      </c>
      <c r="AI125" s="60">
        <v>18.440000000000001</v>
      </c>
      <c r="AJ125" s="60">
        <v>4.99</v>
      </c>
      <c r="AK125" s="60">
        <v>1.9750000000000001</v>
      </c>
      <c r="AL125" s="60">
        <v>0.23</v>
      </c>
      <c r="AM125" s="60">
        <v>18.329999999999998</v>
      </c>
      <c r="AN125" s="60">
        <v>0.19500000000000001</v>
      </c>
      <c r="AO125" s="60">
        <v>5.07</v>
      </c>
      <c r="AP125" s="60">
        <v>0</v>
      </c>
      <c r="AQ125" s="60">
        <v>0.89</v>
      </c>
      <c r="AR125" s="60" t="s">
        <v>132</v>
      </c>
      <c r="AS125" s="75" t="s">
        <v>1009</v>
      </c>
      <c r="AT125" s="59">
        <f t="shared" si="117"/>
        <v>18.329999999999998</v>
      </c>
      <c r="AU125" s="59">
        <f t="shared" si="118"/>
        <v>6.1176374999999998</v>
      </c>
      <c r="AV125" s="72">
        <f>IF(C125="",0,(0.5*(_ML1*LPM)+0.5*(_ML1*HB)+0.66*(P*PR)+0.66*(_ML2*RDM)+0.66*(E*ER))*VLOOKUP(BATT,'Look Ups'!$N$3:$O$4,2,0))</f>
        <v>69.688988000000009</v>
      </c>
      <c r="AW125" s="73"/>
      <c r="AX125" s="74"/>
      <c r="AY125" s="71">
        <v>16.66</v>
      </c>
      <c r="AZ125" s="60">
        <v>5.38</v>
      </c>
      <c r="BA125" s="60">
        <v>5.72</v>
      </c>
      <c r="BB125" s="60">
        <v>0.12</v>
      </c>
      <c r="BC125" s="60">
        <v>15.4</v>
      </c>
      <c r="BD125" s="60"/>
      <c r="BE125" s="60"/>
      <c r="BF125" s="60">
        <v>-0.3</v>
      </c>
      <c r="BG125" s="60">
        <v>0.15</v>
      </c>
      <c r="BH125" s="75" t="s">
        <v>1010</v>
      </c>
      <c r="BI125" s="72">
        <f t="shared" si="144"/>
        <v>43.868563999999999</v>
      </c>
      <c r="BJ125" s="76"/>
      <c r="BK125" s="77"/>
      <c r="BL125" s="78"/>
      <c r="BM125" s="78"/>
      <c r="BN125" s="77"/>
      <c r="BO125" s="78"/>
      <c r="BP125" s="78"/>
      <c r="BQ125" s="79"/>
      <c r="BR125" s="80"/>
      <c r="BS125" s="77"/>
      <c r="BT125" s="77"/>
      <c r="BU125" s="77"/>
      <c r="BV125" s="77"/>
      <c r="BW125" s="77"/>
      <c r="BX125" s="77"/>
      <c r="BY125" s="72"/>
      <c r="BZ125" s="73">
        <v>12.16</v>
      </c>
      <c r="CA125" s="60">
        <v>21.23</v>
      </c>
      <c r="CB125" s="60">
        <v>19.420000000000002</v>
      </c>
      <c r="CC125" s="60">
        <v>11.68</v>
      </c>
      <c r="CD125" s="65">
        <f t="shared" si="120"/>
        <v>96.05263157894737</v>
      </c>
      <c r="CE125" s="60" t="s">
        <v>1118</v>
      </c>
      <c r="CF125" s="79">
        <f t="shared" si="137"/>
        <v>199.45600000000002</v>
      </c>
      <c r="CG125" s="71">
        <v>8.35</v>
      </c>
      <c r="CH125" s="60">
        <v>17.95</v>
      </c>
      <c r="CI125" s="60">
        <v>15.65</v>
      </c>
      <c r="CJ125" s="60">
        <v>4.43</v>
      </c>
      <c r="CK125" s="59">
        <f t="shared" si="121"/>
        <v>53.053892215568865</v>
      </c>
      <c r="CL125" s="60" t="s">
        <v>1119</v>
      </c>
      <c r="CM125" s="72">
        <f t="shared" si="122"/>
        <v>72.995999999999995</v>
      </c>
      <c r="CN125" s="81">
        <f t="shared" si="123"/>
        <v>1</v>
      </c>
      <c r="CO125" s="59">
        <f t="shared" si="124"/>
        <v>75.80662550000001</v>
      </c>
      <c r="CP125" s="59">
        <f t="shared" si="125"/>
        <v>1</v>
      </c>
      <c r="CQ125" s="59">
        <f t="shared" si="126"/>
        <v>43.868563999999999</v>
      </c>
      <c r="CR125" s="59">
        <f>IF(AV125&gt;0,'Look Ups'!$L$3,0)</f>
        <v>1</v>
      </c>
      <c r="CS125" s="59"/>
      <c r="CT125" s="59"/>
      <c r="CU125" s="59"/>
      <c r="CV125" s="79"/>
      <c r="CW125" s="82" t="str">
        <f t="shared" si="127"/>
        <v>valid</v>
      </c>
      <c r="CX125" s="65" t="str">
        <f t="shared" si="128"/>
        <v>valid</v>
      </c>
      <c r="CY125" s="66" t="str">
        <f t="shared" si="129"/>
        <v>MGScrSp</v>
      </c>
      <c r="CZ125" s="81">
        <f t="shared" si="130"/>
        <v>119.67518950000002</v>
      </c>
      <c r="DA125" s="59">
        <f t="shared" si="131"/>
        <v>46.676230800000006</v>
      </c>
      <c r="DB125" s="59">
        <f t="shared" si="132"/>
        <v>10.194602599999998</v>
      </c>
      <c r="DC125" s="59">
        <f t="shared" si="133"/>
        <v>45.898293620000004</v>
      </c>
      <c r="DD125" s="59">
        <f t="shared" si="134"/>
        <v>1.6020089799999997</v>
      </c>
      <c r="DE125" s="79">
        <f t="shared" si="135"/>
        <v>123.12450014200002</v>
      </c>
      <c r="DF125" s="83">
        <f t="shared" si="136"/>
        <v>167.17549210000001</v>
      </c>
      <c r="DG125" s="412"/>
    </row>
    <row r="126" spans="2:255" s="209" customFormat="1" ht="16.5" customHeight="1" x14ac:dyDescent="0.25">
      <c r="B126" s="414"/>
      <c r="C126" s="414" t="s">
        <v>950</v>
      </c>
      <c r="D126" s="48" t="s">
        <v>164</v>
      </c>
      <c r="E126" s="49" t="s">
        <v>951</v>
      </c>
      <c r="F126" s="415">
        <f t="shared" si="112"/>
        <v>0.91891749884594598</v>
      </c>
      <c r="G126" s="415" t="str">
        <f t="shared" ca="1" si="113"/>
        <v>Yes</v>
      </c>
      <c r="H126" s="51" t="str">
        <f t="shared" si="114"/>
        <v>Main - Genoa - Screacher - Spinnaker</v>
      </c>
      <c r="I126" s="52">
        <v>41494</v>
      </c>
      <c r="J126" s="52">
        <v>43475</v>
      </c>
      <c r="K126" s="53" t="s">
        <v>201</v>
      </c>
      <c r="L126" s="53" t="s">
        <v>841</v>
      </c>
      <c r="M126" s="54"/>
      <c r="N126" s="55" t="s">
        <v>149</v>
      </c>
      <c r="O126" s="55"/>
      <c r="P126" s="56"/>
      <c r="Q126" s="57">
        <v>9.34</v>
      </c>
      <c r="R126" s="58"/>
      <c r="S126" s="59">
        <f t="shared" si="111"/>
        <v>0.23350000000000001</v>
      </c>
      <c r="T126" s="60">
        <v>0.12</v>
      </c>
      <c r="U126" s="60">
        <v>0</v>
      </c>
      <c r="V126" s="61">
        <f t="shared" si="108"/>
        <v>9.2200000000000006</v>
      </c>
      <c r="W126" s="62">
        <f>IF(RL&gt;0,IF(RL&gt;'Look Ups'!R$7,'Look Ups'!R$8,('Look Ups'!R$3*RL^3+'Look Ups'!R$4*RL^2+'Look Ups'!R$5*RL+'Look Ups'!R$6)),0)</f>
        <v>0.29714289578399999</v>
      </c>
      <c r="X126" s="63">
        <v>1888</v>
      </c>
      <c r="Y126" s="64"/>
      <c r="Z126" s="64"/>
      <c r="AA126" s="64"/>
      <c r="AB126" s="65">
        <f t="shared" si="115"/>
        <v>1888</v>
      </c>
      <c r="AC126" s="66">
        <f t="shared" si="116"/>
        <v>1888</v>
      </c>
      <c r="AD126" s="67" t="s">
        <v>129</v>
      </c>
      <c r="AE126" s="68" t="s">
        <v>130</v>
      </c>
      <c r="AF126" s="69" t="s">
        <v>131</v>
      </c>
      <c r="AG126" s="70">
        <f>IF(C126="",0,VLOOKUP(AD126,'Look Ups'!$B$3:$C$6,2,0)*VLOOKUP(AE126,'Look Ups'!$E$3:$F$5,2,0)*VLOOKUP(AF126,'Look Ups'!$H$3:$I$7,2,0))</f>
        <v>1</v>
      </c>
      <c r="AH126" s="71">
        <v>13.06</v>
      </c>
      <c r="AI126" s="60">
        <v>12.61</v>
      </c>
      <c r="AJ126" s="60">
        <v>4.05</v>
      </c>
      <c r="AK126" s="60">
        <v>1.92</v>
      </c>
      <c r="AL126" s="60">
        <v>0.22</v>
      </c>
      <c r="AM126" s="60">
        <v>13.05</v>
      </c>
      <c r="AN126" s="60">
        <v>0.13</v>
      </c>
      <c r="AO126" s="60">
        <v>4.13</v>
      </c>
      <c r="AP126" s="60">
        <v>7.0000000000000007E-2</v>
      </c>
      <c r="AQ126" s="60">
        <v>0.62</v>
      </c>
      <c r="AR126" s="60" t="s">
        <v>132</v>
      </c>
      <c r="AS126" s="75"/>
      <c r="AT126" s="59">
        <f t="shared" si="117"/>
        <v>13.120000000000001</v>
      </c>
      <c r="AU126" s="59">
        <f t="shared" si="118"/>
        <v>3.0341250000000004</v>
      </c>
      <c r="AV126" s="72">
        <f>IF(C126="",0,(0.5*(_ML1*LPM)+0.5*(_ML1*HB)+0.66*(P*PR)+0.66*(_ML2*RDM)+0.66*(E*ER))*VLOOKUP(BATT,'Look Ups'!$N$3:$O$4,2,0))</f>
        <v>42.125568000000001</v>
      </c>
      <c r="AW126" s="73"/>
      <c r="AX126" s="74"/>
      <c r="AY126" s="71">
        <v>11.02</v>
      </c>
      <c r="AZ126" s="60">
        <v>2.92</v>
      </c>
      <c r="BA126" s="60">
        <v>3.04</v>
      </c>
      <c r="BB126" s="60">
        <v>0.03</v>
      </c>
      <c r="BC126" s="60">
        <v>10.4</v>
      </c>
      <c r="BD126" s="60"/>
      <c r="BE126" s="60"/>
      <c r="BF126" s="60">
        <v>0.14000000000000001</v>
      </c>
      <c r="BG126" s="60">
        <v>0</v>
      </c>
      <c r="BH126" s="75" t="s">
        <v>165</v>
      </c>
      <c r="BI126" s="72">
        <f t="shared" si="144"/>
        <v>17.110351999999999</v>
      </c>
      <c r="BJ126" s="76"/>
      <c r="BK126" s="77"/>
      <c r="BL126" s="78"/>
      <c r="BM126" s="78"/>
      <c r="BN126" s="77"/>
      <c r="BO126" s="78"/>
      <c r="BP126" s="78"/>
      <c r="BQ126" s="79">
        <f t="shared" ref="BQ126:BQ131" si="145">(0.5*LLS*LPS)+(0.66*LLS*LLRS)+(0.66*LS*LRS)+(0.66*FS*FRS)</f>
        <v>0</v>
      </c>
      <c r="BR126" s="80"/>
      <c r="BS126" s="77"/>
      <c r="BT126" s="77"/>
      <c r="BU126" s="77"/>
      <c r="BV126" s="77"/>
      <c r="BW126" s="77"/>
      <c r="BX126" s="77"/>
      <c r="BY126" s="72">
        <f t="shared" ref="BY126:BY131" si="146">(0.5*LLD*LPD)+(0.66*LLD*LLRD)+(0.66*LCHD*LRD)+(0.66*FD*FRD)</f>
        <v>0</v>
      </c>
      <c r="BZ126" s="73">
        <v>8.3800000000000008</v>
      </c>
      <c r="CA126" s="60">
        <v>15.6</v>
      </c>
      <c r="CB126" s="60">
        <v>14.34</v>
      </c>
      <c r="CC126" s="60">
        <v>7.02</v>
      </c>
      <c r="CD126" s="65">
        <f t="shared" si="120"/>
        <v>83.770883054892593</v>
      </c>
      <c r="CE126" s="60"/>
      <c r="CF126" s="79">
        <f t="shared" si="137"/>
        <v>90.967699999999994</v>
      </c>
      <c r="CG126" s="71">
        <v>7.47</v>
      </c>
      <c r="CH126" s="60">
        <v>12.79</v>
      </c>
      <c r="CI126" s="60">
        <v>10.44</v>
      </c>
      <c r="CJ126" s="60">
        <v>3.78</v>
      </c>
      <c r="CK126" s="59">
        <f t="shared" si="121"/>
        <v>50.602409638554214</v>
      </c>
      <c r="CL126" s="60"/>
      <c r="CM126" s="72">
        <f t="shared" si="122"/>
        <v>43.730474999999991</v>
      </c>
      <c r="CN126" s="81">
        <f t="shared" si="123"/>
        <v>1</v>
      </c>
      <c r="CO126" s="59">
        <f t="shared" si="124"/>
        <v>45.159693000000004</v>
      </c>
      <c r="CP126" s="59">
        <f t="shared" si="125"/>
        <v>1</v>
      </c>
      <c r="CQ126" s="59">
        <f t="shared" si="126"/>
        <v>17.110351999999999</v>
      </c>
      <c r="CR126" s="59">
        <f>IF(AV126&gt;0,'Look Ups'!$L$3,0)</f>
        <v>1</v>
      </c>
      <c r="CS126" s="59">
        <f t="shared" ref="CS126:CS131" si="147">IF(LPS&gt;0,0.72*(AS/(LPS^2))^0.3,0)</f>
        <v>0</v>
      </c>
      <c r="CT126" s="59">
        <f t="shared" ref="CT126:CT131" si="148">EFS*AS</f>
        <v>0</v>
      </c>
      <c r="CU126" s="59">
        <f t="shared" ref="CU126:CU131" si="149">IF(LPD&gt;0,0.72*(AD/(LPD^2))^0.3,0)</f>
        <v>0</v>
      </c>
      <c r="CV126" s="79">
        <f t="shared" ref="CV126:CV131" si="150">IF((AD-AG)&gt;0,0.3*(AD-AG)*EFD,0)</f>
        <v>0</v>
      </c>
      <c r="CW126" s="82" t="str">
        <f t="shared" si="127"/>
        <v>valid</v>
      </c>
      <c r="CX126" s="65" t="str">
        <f t="shared" si="128"/>
        <v>valid</v>
      </c>
      <c r="CY126" s="66" t="str">
        <f t="shared" si="129"/>
        <v>MGScrSp</v>
      </c>
      <c r="CZ126" s="81">
        <f t="shared" si="130"/>
        <v>62.270045000000003</v>
      </c>
      <c r="DA126" s="59">
        <f t="shared" si="131"/>
        <v>22.157204400000001</v>
      </c>
      <c r="DB126" s="59">
        <f t="shared" si="132"/>
        <v>9.317043049999997</v>
      </c>
      <c r="DC126" s="59">
        <f t="shared" si="133"/>
        <v>21.787917659999998</v>
      </c>
      <c r="DD126" s="59">
        <f t="shared" si="134"/>
        <v>1.4641067649999997</v>
      </c>
      <c r="DE126" s="79">
        <f t="shared" si="135"/>
        <v>65.299373828</v>
      </c>
      <c r="DF126" s="83">
        <f t="shared" si="136"/>
        <v>85.522069424999998</v>
      </c>
      <c r="DG126" s="412"/>
      <c r="DH126" s="286"/>
      <c r="DI126" s="286"/>
      <c r="DJ126" s="286"/>
      <c r="DK126" s="286"/>
      <c r="DL126" s="286"/>
      <c r="DM126" s="286"/>
      <c r="DN126" s="286"/>
      <c r="DO126" s="286"/>
      <c r="DP126" s="286"/>
      <c r="DQ126" s="286"/>
      <c r="DR126" s="286"/>
      <c r="DS126" s="286"/>
      <c r="DT126" s="286"/>
      <c r="DU126" s="286"/>
      <c r="DV126" s="286"/>
      <c r="DW126" s="286"/>
      <c r="DX126" s="286"/>
      <c r="DY126" s="286"/>
      <c r="DZ126" s="286"/>
      <c r="EA126" s="286"/>
      <c r="EB126" s="286"/>
      <c r="EC126" s="286"/>
      <c r="ED126" s="286"/>
      <c r="EE126" s="286"/>
      <c r="EF126" s="286"/>
      <c r="EG126" s="286"/>
      <c r="EH126" s="286"/>
      <c r="EI126" s="286"/>
      <c r="EJ126" s="286"/>
      <c r="EK126" s="286"/>
      <c r="EL126" s="286"/>
      <c r="EM126" s="286"/>
      <c r="EN126" s="286"/>
      <c r="EO126" s="286"/>
      <c r="EP126" s="286"/>
      <c r="EQ126" s="286"/>
      <c r="ER126" s="286"/>
      <c r="ES126" s="286"/>
      <c r="ET126" s="286"/>
      <c r="EU126" s="286"/>
      <c r="EV126" s="286"/>
      <c r="EW126" s="365"/>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row>
    <row r="127" spans="2:255" ht="16.5" customHeight="1" x14ac:dyDescent="0.25">
      <c r="B127" s="414"/>
      <c r="C127" s="416" t="s">
        <v>503</v>
      </c>
      <c r="D127" s="238" t="s">
        <v>504</v>
      </c>
      <c r="E127" s="212" t="s">
        <v>505</v>
      </c>
      <c r="F127" s="415">
        <f t="shared" si="112"/>
        <v>0.86996121403556681</v>
      </c>
      <c r="G127" s="415" t="str">
        <f t="shared" ca="1" si="113"/>
        <v>No</v>
      </c>
      <c r="H127" s="241" t="str">
        <f t="shared" si="114"/>
        <v>Main - Genoa - Spinnaker</v>
      </c>
      <c r="I127" s="214">
        <v>40620</v>
      </c>
      <c r="J127" s="214">
        <v>43105</v>
      </c>
      <c r="K127" s="215" t="s">
        <v>506</v>
      </c>
      <c r="L127" s="215" t="s">
        <v>841</v>
      </c>
      <c r="M127" s="216"/>
      <c r="N127" s="232" t="s">
        <v>149</v>
      </c>
      <c r="O127" s="232"/>
      <c r="P127" s="239"/>
      <c r="Q127" s="219">
        <v>12.97</v>
      </c>
      <c r="R127" s="220"/>
      <c r="S127" s="242">
        <f t="shared" si="111"/>
        <v>0.32425000000000004</v>
      </c>
      <c r="T127" s="222">
        <v>0.47</v>
      </c>
      <c r="U127" s="222">
        <v>0</v>
      </c>
      <c r="V127" s="243">
        <f t="shared" si="108"/>
        <v>12.5</v>
      </c>
      <c r="W127" s="244">
        <f>IF(RL&gt;0,IF(RL&gt;'Look Ups'!R$7,'Look Ups'!R$8,('Look Ups'!R$3*RL^3+'Look Ups'!R$4*RL^2+'Look Ups'!R$5*RL+'Look Ups'!R$6)),0)</f>
        <v>0.3</v>
      </c>
      <c r="X127" s="223">
        <v>5258</v>
      </c>
      <c r="Y127" s="224"/>
      <c r="Z127" s="224"/>
      <c r="AA127" s="224"/>
      <c r="AB127" s="245">
        <f t="shared" si="115"/>
        <v>5258</v>
      </c>
      <c r="AC127" s="246">
        <f t="shared" si="116"/>
        <v>5258</v>
      </c>
      <c r="AD127" s="226" t="s">
        <v>129</v>
      </c>
      <c r="AE127" s="227" t="s">
        <v>130</v>
      </c>
      <c r="AF127" s="228" t="s">
        <v>131</v>
      </c>
      <c r="AG127" s="247">
        <f>IF(C127="",0,VLOOKUP(AD127,'Look Ups'!$B$3:$C$6,2,0)*VLOOKUP(AE127,'Look Ups'!$E$3:$F$5,2,0)*VLOOKUP(AF127,'Look Ups'!$H$3:$I$7,2,0))</f>
        <v>1</v>
      </c>
      <c r="AH127" s="229">
        <v>15.73</v>
      </c>
      <c r="AI127" s="222">
        <v>15.31</v>
      </c>
      <c r="AJ127" s="222">
        <v>4.5999999999999996</v>
      </c>
      <c r="AK127" s="222">
        <v>1.82</v>
      </c>
      <c r="AL127" s="222">
        <v>0.44</v>
      </c>
      <c r="AM127" s="222">
        <v>15.87</v>
      </c>
      <c r="AN127" s="222">
        <v>0.28999999999999998</v>
      </c>
      <c r="AO127" s="222">
        <v>4.67</v>
      </c>
      <c r="AP127" s="222">
        <v>0.13</v>
      </c>
      <c r="AQ127" s="222">
        <v>1.2</v>
      </c>
      <c r="AR127" s="222" t="s">
        <v>132</v>
      </c>
      <c r="AS127" s="232" t="s">
        <v>507</v>
      </c>
      <c r="AT127" s="242">
        <f t="shared" si="117"/>
        <v>16</v>
      </c>
      <c r="AU127" s="242">
        <f t="shared" si="118"/>
        <v>7.1414999999999997</v>
      </c>
      <c r="AV127" s="248">
        <f>IF(C127="",0,(0.5*(_ML1*LPM)+0.5*(_ML1*HB)+0.66*(P*PR)+0.66*(_ML2*RDM)+0.66*(E*ER))*VLOOKUP(BATT,'Look Ups'!$N$3:$O$4,2,0))</f>
        <v>58.377527999999998</v>
      </c>
      <c r="AW127" s="230"/>
      <c r="AX127" s="231"/>
      <c r="AY127" s="229">
        <v>14.45</v>
      </c>
      <c r="AZ127" s="222">
        <v>5</v>
      </c>
      <c r="BA127" s="222">
        <v>5.69</v>
      </c>
      <c r="BB127" s="222">
        <v>0.11</v>
      </c>
      <c r="BC127" s="222">
        <v>12.7</v>
      </c>
      <c r="BD127" s="222"/>
      <c r="BE127" s="222"/>
      <c r="BF127" s="222">
        <v>-0.32</v>
      </c>
      <c r="BG127" s="222">
        <v>0.05</v>
      </c>
      <c r="BH127" s="232">
        <v>0</v>
      </c>
      <c r="BI127" s="248">
        <f t="shared" si="144"/>
        <v>34.332704</v>
      </c>
      <c r="BJ127" s="249"/>
      <c r="BK127" s="242"/>
      <c r="BL127" s="250"/>
      <c r="BM127" s="250"/>
      <c r="BN127" s="242"/>
      <c r="BO127" s="250"/>
      <c r="BP127" s="250"/>
      <c r="BQ127" s="251">
        <f t="shared" si="145"/>
        <v>0</v>
      </c>
      <c r="BR127" s="80"/>
      <c r="BS127" s="77"/>
      <c r="BT127" s="77"/>
      <c r="BU127" s="77"/>
      <c r="BV127" s="77"/>
      <c r="BW127" s="77"/>
      <c r="BX127" s="77"/>
      <c r="BY127" s="248">
        <f t="shared" si="146"/>
        <v>0</v>
      </c>
      <c r="BZ127" s="230">
        <v>11.19</v>
      </c>
      <c r="CA127" s="222">
        <v>17.55</v>
      </c>
      <c r="CB127" s="222">
        <v>16.09</v>
      </c>
      <c r="CC127" s="222">
        <v>10.5</v>
      </c>
      <c r="CD127" s="245">
        <f t="shared" si="120"/>
        <v>93.833780160857913</v>
      </c>
      <c r="CE127" s="232">
        <v>0</v>
      </c>
      <c r="CF127" s="251">
        <f t="shared" si="137"/>
        <v>149.10929999999999</v>
      </c>
      <c r="CG127" s="229"/>
      <c r="CH127" s="222"/>
      <c r="CI127" s="222"/>
      <c r="CJ127" s="222"/>
      <c r="CK127" s="242" t="str">
        <f t="shared" si="121"/>
        <v/>
      </c>
      <c r="CL127" s="232">
        <v>0</v>
      </c>
      <c r="CM127" s="248">
        <f t="shared" si="122"/>
        <v>0</v>
      </c>
      <c r="CN127" s="253">
        <f t="shared" si="123"/>
        <v>1</v>
      </c>
      <c r="CO127" s="242">
        <f t="shared" si="124"/>
        <v>65.519027999999992</v>
      </c>
      <c r="CP127" s="242">
        <f t="shared" si="125"/>
        <v>1</v>
      </c>
      <c r="CQ127" s="242">
        <f t="shared" si="126"/>
        <v>34.332704</v>
      </c>
      <c r="CR127" s="242">
        <f>IF(AV127&gt;0,'Look Ups'!$L$3,0)</f>
        <v>1</v>
      </c>
      <c r="CS127" s="242">
        <f t="shared" si="147"/>
        <v>0</v>
      </c>
      <c r="CT127" s="242">
        <f t="shared" si="148"/>
        <v>0</v>
      </c>
      <c r="CU127" s="242">
        <f t="shared" si="149"/>
        <v>0</v>
      </c>
      <c r="CV127" s="251">
        <f t="shared" si="150"/>
        <v>0</v>
      </c>
      <c r="CW127" s="254" t="str">
        <f t="shared" si="127"/>
        <v>-</v>
      </c>
      <c r="CX127" s="245" t="str">
        <f t="shared" si="128"/>
        <v>valid</v>
      </c>
      <c r="CY127" s="246" t="str">
        <f t="shared" si="129"/>
        <v>MGSp</v>
      </c>
      <c r="CZ127" s="253">
        <f t="shared" si="130"/>
        <v>99.851731999999998</v>
      </c>
      <c r="DA127" s="242">
        <f t="shared" si="131"/>
        <v>34.432978799999994</v>
      </c>
      <c r="DB127" s="242">
        <f t="shared" si="132"/>
        <v>0</v>
      </c>
      <c r="DC127" s="242">
        <f t="shared" si="133"/>
        <v>33.859095819999993</v>
      </c>
      <c r="DD127" s="242">
        <f t="shared" si="134"/>
        <v>0</v>
      </c>
      <c r="DE127" s="251">
        <f t="shared" si="135"/>
        <v>103.21985499199999</v>
      </c>
      <c r="DF127" s="255">
        <f t="shared" si="136"/>
        <v>134.2847108</v>
      </c>
      <c r="DG127" s="412"/>
    </row>
    <row r="128" spans="2:255" ht="16.5" customHeight="1" x14ac:dyDescent="0.25">
      <c r="B128" s="416"/>
      <c r="C128" s="414" t="s">
        <v>883</v>
      </c>
      <c r="D128" s="48" t="s">
        <v>884</v>
      </c>
      <c r="E128" s="49" t="s">
        <v>885</v>
      </c>
      <c r="F128" s="415">
        <f t="shared" si="112"/>
        <v>0.98337664058047791</v>
      </c>
      <c r="G128" s="415" t="str">
        <f t="shared" ca="1" si="113"/>
        <v>Yes</v>
      </c>
      <c r="H128" s="51" t="str">
        <f t="shared" si="114"/>
        <v>Main - Genoa - Screacher - Spinnaker</v>
      </c>
      <c r="I128" s="52">
        <v>42665</v>
      </c>
      <c r="J128" s="52">
        <v>44159</v>
      </c>
      <c r="K128" s="324" t="s">
        <v>1002</v>
      </c>
      <c r="L128" s="53" t="s">
        <v>299</v>
      </c>
      <c r="M128" s="54"/>
      <c r="N128" s="55" t="s">
        <v>127</v>
      </c>
      <c r="O128" s="55"/>
      <c r="P128" s="56"/>
      <c r="Q128" s="57">
        <v>7.28</v>
      </c>
      <c r="R128" s="58"/>
      <c r="S128" s="59">
        <f t="shared" si="111"/>
        <v>0.18200000000000002</v>
      </c>
      <c r="T128" s="60"/>
      <c r="U128" s="60"/>
      <c r="V128" s="61">
        <f t="shared" si="108"/>
        <v>7.28</v>
      </c>
      <c r="W128" s="62">
        <f>IF(RL&gt;0,IF(RL&gt;'Look Ups'!R$7,'Look Ups'!R$8,('Look Ups'!R$3*RL^3+'Look Ups'!R$4*RL^2+'Look Ups'!R$5*RL+'Look Ups'!R$6)),0)</f>
        <v>0.29099457561600001</v>
      </c>
      <c r="X128" s="63">
        <v>597</v>
      </c>
      <c r="Y128" s="64"/>
      <c r="Z128" s="64"/>
      <c r="AA128" s="64"/>
      <c r="AB128" s="65">
        <f t="shared" si="115"/>
        <v>597</v>
      </c>
      <c r="AC128" s="66">
        <f t="shared" si="116"/>
        <v>597</v>
      </c>
      <c r="AD128" s="67" t="s">
        <v>129</v>
      </c>
      <c r="AE128" s="68" t="s">
        <v>130</v>
      </c>
      <c r="AF128" s="69" t="s">
        <v>131</v>
      </c>
      <c r="AG128" s="70">
        <f>IF(C128="",0,VLOOKUP(AD128,'Look Ups'!$B$3:$C$6,2,0)*VLOOKUP(AE128,'Look Ups'!$E$3:$F$5,2,0)*VLOOKUP(AF128,'Look Ups'!$H$3:$I$7,2,0))</f>
        <v>1</v>
      </c>
      <c r="AH128" s="71">
        <v>10.55</v>
      </c>
      <c r="AI128" s="60">
        <v>10.53</v>
      </c>
      <c r="AJ128" s="60">
        <v>2.88</v>
      </c>
      <c r="AK128" s="60">
        <v>1.33</v>
      </c>
      <c r="AL128" s="60">
        <v>0.27</v>
      </c>
      <c r="AM128" s="60">
        <v>10.41</v>
      </c>
      <c r="AN128" s="60">
        <v>-7.0000000000000007E-2</v>
      </c>
      <c r="AO128" s="60">
        <v>2.93</v>
      </c>
      <c r="AP128" s="60"/>
      <c r="AQ128" s="60">
        <v>0.51</v>
      </c>
      <c r="AR128" s="60" t="s">
        <v>132</v>
      </c>
      <c r="AS128" s="75" t="s">
        <v>1011</v>
      </c>
      <c r="AT128" s="59">
        <f t="shared" si="117"/>
        <v>10.41</v>
      </c>
      <c r="AU128" s="59">
        <f t="shared" si="118"/>
        <v>1.9909125000000001</v>
      </c>
      <c r="AV128" s="72">
        <f>IF(C128="",0,(0.5*(_ML1*LPM)+0.5*(_ML1*HB)+0.66*(P*PR)+0.66*(_ML2*RDM)+0.66*(E*ER))*VLOOKUP(BATT,'Look Ups'!$N$3:$O$4,2,0))</f>
        <v>23.603254000000003</v>
      </c>
      <c r="AW128" s="73"/>
      <c r="AX128" s="74"/>
      <c r="AY128" s="71">
        <v>8.93</v>
      </c>
      <c r="AZ128" s="60">
        <v>2.08</v>
      </c>
      <c r="BA128" s="60">
        <v>2.2999999999999998</v>
      </c>
      <c r="BB128" s="60">
        <v>7.4999999999999997E-2</v>
      </c>
      <c r="BC128" s="60">
        <v>8.1300000000000008</v>
      </c>
      <c r="BD128" s="60"/>
      <c r="BE128" s="60"/>
      <c r="BF128" s="60">
        <v>-7.0000000000000007E-2</v>
      </c>
      <c r="BG128" s="60">
        <v>0.06</v>
      </c>
      <c r="BH128" s="75" t="s">
        <v>1042</v>
      </c>
      <c r="BI128" s="72">
        <f t="shared" si="144"/>
        <v>9.3790720000000007</v>
      </c>
      <c r="BJ128" s="76"/>
      <c r="BK128" s="77"/>
      <c r="BL128" s="78"/>
      <c r="BM128" s="78"/>
      <c r="BN128" s="77"/>
      <c r="BO128" s="78"/>
      <c r="BP128" s="78"/>
      <c r="BQ128" s="79">
        <f t="shared" si="145"/>
        <v>0</v>
      </c>
      <c r="BR128" s="80"/>
      <c r="BS128" s="77"/>
      <c r="BT128" s="77"/>
      <c r="BU128" s="77"/>
      <c r="BV128" s="77"/>
      <c r="BW128" s="77"/>
      <c r="BX128" s="77"/>
      <c r="BY128" s="72">
        <f t="shared" si="146"/>
        <v>0</v>
      </c>
      <c r="BZ128" s="73">
        <v>6.19</v>
      </c>
      <c r="CA128" s="60">
        <v>11.59</v>
      </c>
      <c r="CB128" s="60">
        <v>10.220000000000001</v>
      </c>
      <c r="CC128" s="60">
        <v>5.37</v>
      </c>
      <c r="CD128" s="65">
        <f t="shared" si="120"/>
        <v>86.752827140549272</v>
      </c>
      <c r="CE128" s="60" t="s">
        <v>1012</v>
      </c>
      <c r="CF128" s="79">
        <f t="shared" si="137"/>
        <v>50.290225000000007</v>
      </c>
      <c r="CG128" s="71">
        <v>6.73</v>
      </c>
      <c r="CH128" s="60">
        <v>11.32</v>
      </c>
      <c r="CI128" s="60">
        <v>10.32</v>
      </c>
      <c r="CJ128" s="60">
        <v>4.18</v>
      </c>
      <c r="CK128" s="59">
        <f t="shared" si="121"/>
        <v>62.109955423476961</v>
      </c>
      <c r="CL128" s="60" t="s">
        <v>1013</v>
      </c>
      <c r="CM128" s="72">
        <f t="shared" si="122"/>
        <v>42.288166666666669</v>
      </c>
      <c r="CN128" s="81">
        <f t="shared" si="123"/>
        <v>1</v>
      </c>
      <c r="CO128" s="59">
        <f t="shared" si="124"/>
        <v>25.594166500000007</v>
      </c>
      <c r="CP128" s="59">
        <f t="shared" si="125"/>
        <v>1</v>
      </c>
      <c r="CQ128" s="59">
        <f t="shared" si="126"/>
        <v>9.3790720000000007</v>
      </c>
      <c r="CR128" s="59">
        <f>IF(AV128&gt;0,'Look Ups'!$L$3,0)</f>
        <v>1</v>
      </c>
      <c r="CS128" s="59">
        <f t="shared" si="147"/>
        <v>0</v>
      </c>
      <c r="CT128" s="59">
        <f t="shared" si="148"/>
        <v>0</v>
      </c>
      <c r="CU128" s="59">
        <f t="shared" si="149"/>
        <v>0</v>
      </c>
      <c r="CV128" s="79">
        <f t="shared" si="150"/>
        <v>0</v>
      </c>
      <c r="CW128" s="82" t="str">
        <f t="shared" si="127"/>
        <v>valid</v>
      </c>
      <c r="CX128" s="65" t="str">
        <f t="shared" si="128"/>
        <v>valid</v>
      </c>
      <c r="CY128" s="66" t="str">
        <f t="shared" si="129"/>
        <v>MGScrSp</v>
      </c>
      <c r="CZ128" s="81">
        <f t="shared" si="130"/>
        <v>34.973238500000008</v>
      </c>
      <c r="DA128" s="59">
        <f t="shared" si="131"/>
        <v>12.273345900000001</v>
      </c>
      <c r="DB128" s="59">
        <f t="shared" si="132"/>
        <v>11.518183133333332</v>
      </c>
      <c r="DC128" s="59">
        <f t="shared" si="133"/>
        <v>12.068790135</v>
      </c>
      <c r="DD128" s="59">
        <f t="shared" si="134"/>
        <v>1.8100002066666667</v>
      </c>
      <c r="DE128" s="79">
        <f t="shared" si="135"/>
        <v>36.72446870600001</v>
      </c>
      <c r="DF128" s="83">
        <f t="shared" si="136"/>
        <v>48.852028841666673</v>
      </c>
      <c r="DG128" s="412"/>
    </row>
    <row r="129" spans="2:111" ht="16.5" customHeight="1" x14ac:dyDescent="0.25">
      <c r="B129" s="416"/>
      <c r="C129" s="416" t="s">
        <v>1076</v>
      </c>
      <c r="D129" s="211" t="s">
        <v>1075</v>
      </c>
      <c r="E129" s="212" t="s">
        <v>478</v>
      </c>
      <c r="F129" s="415">
        <f t="shared" si="112"/>
        <v>0.80063494145156922</v>
      </c>
      <c r="G129" s="415" t="str">
        <f t="shared" ca="1" si="113"/>
        <v>Yes</v>
      </c>
      <c r="H129" s="241" t="str">
        <f t="shared" si="114"/>
        <v>Main - Genoa - Screacher - Spinnaker</v>
      </c>
      <c r="I129" s="214">
        <v>44783</v>
      </c>
      <c r="J129" s="214">
        <v>44784</v>
      </c>
      <c r="K129" s="215" t="s">
        <v>1097</v>
      </c>
      <c r="L129" s="215" t="s">
        <v>614</v>
      </c>
      <c r="M129" s="216"/>
      <c r="N129" s="217" t="s">
        <v>149</v>
      </c>
      <c r="O129" s="217" t="s">
        <v>1075</v>
      </c>
      <c r="P129" s="218"/>
      <c r="Q129" s="219">
        <v>11.84</v>
      </c>
      <c r="R129" s="220"/>
      <c r="S129" s="242">
        <f t="shared" si="111"/>
        <v>0.29599999999999999</v>
      </c>
      <c r="T129" s="222"/>
      <c r="U129" s="222">
        <v>0</v>
      </c>
      <c r="V129" s="243">
        <f t="shared" si="108"/>
        <v>11.84</v>
      </c>
      <c r="W129" s="244">
        <f>IF(RL&gt;0,IF(RL&gt;'Look Ups'!R$7,'Look Ups'!R$8,('Look Ups'!R$3*RL^3+'Look Ups'!R$4*RL^2+'Look Ups'!R$5*RL+'Look Ups'!R$6)),0)</f>
        <v>0.29989347763200003</v>
      </c>
      <c r="X129" s="223">
        <v>6322</v>
      </c>
      <c r="Y129" s="224"/>
      <c r="Z129" s="224"/>
      <c r="AA129" s="224"/>
      <c r="AB129" s="245">
        <f t="shared" si="115"/>
        <v>6322</v>
      </c>
      <c r="AC129" s="246">
        <f t="shared" si="116"/>
        <v>6322</v>
      </c>
      <c r="AD129" s="179" t="s">
        <v>129</v>
      </c>
      <c r="AE129" s="180" t="s">
        <v>130</v>
      </c>
      <c r="AF129" s="181" t="s">
        <v>131</v>
      </c>
      <c r="AG129" s="247">
        <f>IF(C129="",0,VLOOKUP(AD129,'Look Ups'!$B$3:$C$6,2,0)*VLOOKUP(AE129,'Look Ups'!$E$3:$F$5,2,0)*VLOOKUP(AF129,'Look Ups'!$H$3:$I$7,2,0))</f>
        <v>1</v>
      </c>
      <c r="AH129" s="229">
        <v>16.28</v>
      </c>
      <c r="AI129" s="222">
        <v>15.95</v>
      </c>
      <c r="AJ129" s="222">
        <v>4.5199999999999996</v>
      </c>
      <c r="AK129" s="222">
        <v>1.87</v>
      </c>
      <c r="AL129" s="222">
        <v>0.6</v>
      </c>
      <c r="AM129" s="222">
        <v>15.58</v>
      </c>
      <c r="AN129" s="222">
        <v>0.19</v>
      </c>
      <c r="AO129" s="222">
        <v>4.7300000000000004</v>
      </c>
      <c r="AP129" s="222">
        <v>0.4</v>
      </c>
      <c r="AQ129" s="222"/>
      <c r="AR129" s="222" t="s">
        <v>132</v>
      </c>
      <c r="AS129" s="232"/>
      <c r="AT129" s="242">
        <f t="shared" si="117"/>
        <v>15.98</v>
      </c>
      <c r="AU129" s="242">
        <f t="shared" si="118"/>
        <v>0</v>
      </c>
      <c r="AV129" s="248">
        <f>IF(C129="",0,(0.5*(_ML1*LPM)+0.5*(_ML1*HB)+0.66*(P*PR)+0.66*(_ML2*RDM)+0.66*(E*ER))*VLOOKUP(BATT,'Look Ups'!$N$3:$O$4,2,0))</f>
        <v>61.533252000000005</v>
      </c>
      <c r="AW129" s="230"/>
      <c r="AX129" s="231"/>
      <c r="AY129" s="322">
        <v>15.77</v>
      </c>
      <c r="AZ129" s="323">
        <v>4.42</v>
      </c>
      <c r="BA129" s="323">
        <v>4.92</v>
      </c>
      <c r="BB129" s="323">
        <v>0.16</v>
      </c>
      <c r="BC129" s="323">
        <v>14.25</v>
      </c>
      <c r="BD129" s="323"/>
      <c r="BE129" s="323"/>
      <c r="BF129" s="323">
        <v>-0.05</v>
      </c>
      <c r="BG129" s="323">
        <v>0.3</v>
      </c>
      <c r="BH129" s="232"/>
      <c r="BI129" s="248">
        <f t="shared" si="144"/>
        <v>38.023461999999995</v>
      </c>
      <c r="BJ129" s="249"/>
      <c r="BK129" s="242"/>
      <c r="BL129" s="250"/>
      <c r="BM129" s="250"/>
      <c r="BN129" s="242"/>
      <c r="BO129" s="250"/>
      <c r="BP129" s="250"/>
      <c r="BQ129" s="251">
        <f t="shared" si="145"/>
        <v>0</v>
      </c>
      <c r="BR129" s="80"/>
      <c r="BS129" s="77"/>
      <c r="BT129" s="77"/>
      <c r="BU129" s="77"/>
      <c r="BV129" s="77"/>
      <c r="BW129" s="77"/>
      <c r="BX129" s="77"/>
      <c r="BY129" s="248">
        <f t="shared" si="146"/>
        <v>0</v>
      </c>
      <c r="BZ129" s="230">
        <v>11</v>
      </c>
      <c r="CA129" s="222">
        <v>18.600000000000001</v>
      </c>
      <c r="CB129" s="222">
        <v>16.670000000000002</v>
      </c>
      <c r="CC129" s="222">
        <v>9.2799999999999994</v>
      </c>
      <c r="CD129" s="245">
        <f t="shared" si="120"/>
        <v>84.36363636363636</v>
      </c>
      <c r="CE129" s="222"/>
      <c r="CF129" s="251">
        <f t="shared" si="137"/>
        <v>141.43270000000001</v>
      </c>
      <c r="CG129" s="322">
        <v>8.8000000000000007</v>
      </c>
      <c r="CH129" s="323">
        <v>16.84</v>
      </c>
      <c r="CI129" s="323">
        <v>14.35</v>
      </c>
      <c r="CJ129" s="323">
        <v>4.99</v>
      </c>
      <c r="CK129" s="242">
        <f t="shared" si="121"/>
        <v>56.704545454545453</v>
      </c>
      <c r="CL129" s="222"/>
      <c r="CM129" s="248">
        <f t="shared" si="122"/>
        <v>74.75203333333333</v>
      </c>
      <c r="CN129" s="253">
        <f t="shared" si="123"/>
        <v>1</v>
      </c>
      <c r="CO129" s="242">
        <f t="shared" si="124"/>
        <v>61.533252000000005</v>
      </c>
      <c r="CP129" s="242">
        <f t="shared" si="125"/>
        <v>1</v>
      </c>
      <c r="CQ129" s="242">
        <f t="shared" si="126"/>
        <v>38.023461999999995</v>
      </c>
      <c r="CR129" s="242">
        <f>IF(AV129&gt;0,'Look Ups'!$L$3,0)</f>
        <v>1</v>
      </c>
      <c r="CS129" s="242">
        <f t="shared" si="147"/>
        <v>0</v>
      </c>
      <c r="CT129" s="242">
        <f t="shared" si="148"/>
        <v>0</v>
      </c>
      <c r="CU129" s="242">
        <f t="shared" si="149"/>
        <v>0</v>
      </c>
      <c r="CV129" s="251">
        <f t="shared" si="150"/>
        <v>0</v>
      </c>
      <c r="CW129" s="254" t="str">
        <f t="shared" si="127"/>
        <v>valid</v>
      </c>
      <c r="CX129" s="245" t="str">
        <f t="shared" si="128"/>
        <v>valid</v>
      </c>
      <c r="CY129" s="246" t="str">
        <f t="shared" si="129"/>
        <v>MGScrSp</v>
      </c>
      <c r="CZ129" s="253">
        <f t="shared" si="130"/>
        <v>99.556713999999999</v>
      </c>
      <c r="DA129" s="242">
        <f t="shared" si="131"/>
        <v>31.022771400000003</v>
      </c>
      <c r="DB129" s="242">
        <f t="shared" si="132"/>
        <v>12.854999966666666</v>
      </c>
      <c r="DC129" s="242">
        <f t="shared" si="133"/>
        <v>30.505725210000005</v>
      </c>
      <c r="DD129" s="242">
        <f t="shared" si="134"/>
        <v>2.0200714233333334</v>
      </c>
      <c r="DE129" s="251">
        <f t="shared" si="135"/>
        <v>102.09577132</v>
      </c>
      <c r="DF129" s="255">
        <f t="shared" si="136"/>
        <v>132.08251063333333</v>
      </c>
      <c r="DG129" s="412"/>
    </row>
    <row r="130" spans="2:111" ht="16.5" customHeight="1" x14ac:dyDescent="0.25">
      <c r="B130" s="414"/>
      <c r="C130" s="416" t="s">
        <v>854</v>
      </c>
      <c r="D130" s="211" t="s">
        <v>200</v>
      </c>
      <c r="E130" s="212" t="s">
        <v>520</v>
      </c>
      <c r="F130" s="415">
        <f t="shared" si="112"/>
        <v>0.85723785292213162</v>
      </c>
      <c r="G130" s="415" t="str">
        <f t="shared" ca="1" si="113"/>
        <v>No</v>
      </c>
      <c r="H130" s="241" t="str">
        <f t="shared" si="114"/>
        <v>Main - Genoa - Screacher - Spinnaker</v>
      </c>
      <c r="I130" s="214">
        <v>40236</v>
      </c>
      <c r="J130" s="214">
        <v>42672</v>
      </c>
      <c r="K130" s="215" t="s">
        <v>201</v>
      </c>
      <c r="L130" s="215" t="s">
        <v>841</v>
      </c>
      <c r="M130" s="216"/>
      <c r="N130" s="217" t="s">
        <v>127</v>
      </c>
      <c r="O130" s="217" t="s">
        <v>128</v>
      </c>
      <c r="P130" s="218"/>
      <c r="Q130" s="219">
        <v>7.3</v>
      </c>
      <c r="R130" s="220"/>
      <c r="S130" s="242">
        <f t="shared" si="111"/>
        <v>0.1825</v>
      </c>
      <c r="T130" s="222">
        <v>0.01</v>
      </c>
      <c r="U130" s="222">
        <v>0</v>
      </c>
      <c r="V130" s="243">
        <f t="shared" si="108"/>
        <v>7.29</v>
      </c>
      <c r="W130" s="244">
        <f>IF(RL&gt;0,IF(RL&gt;'Look Ups'!R$7,'Look Ups'!R$8,('Look Ups'!R$3*RL^3+'Look Ups'!R$4*RL^2+'Look Ups'!R$5*RL+'Look Ups'!R$6)),0)</f>
        <v>0.29103813613700003</v>
      </c>
      <c r="X130" s="223">
        <v>980</v>
      </c>
      <c r="Y130" s="224"/>
      <c r="Z130" s="224"/>
      <c r="AA130" s="224"/>
      <c r="AB130" s="245">
        <f t="shared" si="115"/>
        <v>980</v>
      </c>
      <c r="AC130" s="246">
        <f t="shared" si="116"/>
        <v>980</v>
      </c>
      <c r="AD130" s="226" t="s">
        <v>129</v>
      </c>
      <c r="AE130" s="227" t="s">
        <v>130</v>
      </c>
      <c r="AF130" s="228" t="s">
        <v>131</v>
      </c>
      <c r="AG130" s="247">
        <f>IF(C130="",0,VLOOKUP(AD130,'Look Ups'!$B$3:$C$6,2,0)*VLOOKUP(AE130,'Look Ups'!$E$3:$F$5,2,0)*VLOOKUP(AF130,'Look Ups'!$H$3:$I$7,2,0))</f>
        <v>1</v>
      </c>
      <c r="AH130" s="229">
        <v>10</v>
      </c>
      <c r="AI130" s="222">
        <v>9.84</v>
      </c>
      <c r="AJ130" s="222">
        <v>3.09</v>
      </c>
      <c r="AK130" s="222">
        <v>1.37</v>
      </c>
      <c r="AL130" s="222">
        <v>0.27</v>
      </c>
      <c r="AM130" s="222">
        <v>9.6999999999999993</v>
      </c>
      <c r="AN130" s="222">
        <v>0.1</v>
      </c>
      <c r="AO130" s="222">
        <v>3.24</v>
      </c>
      <c r="AP130" s="222">
        <v>0.04</v>
      </c>
      <c r="AQ130" s="222">
        <v>0.49</v>
      </c>
      <c r="AR130" s="222" t="s">
        <v>132</v>
      </c>
      <c r="AS130" s="232">
        <v>0</v>
      </c>
      <c r="AT130" s="242">
        <f t="shared" si="117"/>
        <v>9.7399999999999984</v>
      </c>
      <c r="AU130" s="242">
        <f t="shared" si="118"/>
        <v>1.7823749999999998</v>
      </c>
      <c r="AV130" s="248">
        <f>IF(C130="",0,(0.5*(_ML1*LPM)+0.5*(_ML1*HB)+0.66*(P*PR)+0.66*(_ML2*RDM)+0.66*(E*ER))*VLOOKUP(BATT,'Look Ups'!$N$3:$O$4,2,0))</f>
        <v>24.779224000000003</v>
      </c>
      <c r="AW130" s="230"/>
      <c r="AX130" s="231"/>
      <c r="AY130" s="322">
        <v>8.7899999999999991</v>
      </c>
      <c r="AZ130" s="323">
        <v>2.84</v>
      </c>
      <c r="BA130" s="323">
        <v>3.13</v>
      </c>
      <c r="BB130" s="323">
        <v>0.1</v>
      </c>
      <c r="BC130" s="323">
        <v>7.96</v>
      </c>
      <c r="BD130" s="323"/>
      <c r="BE130" s="323"/>
      <c r="BF130" s="323">
        <v>-0.06</v>
      </c>
      <c r="BG130" s="323">
        <v>0</v>
      </c>
      <c r="BH130" s="232">
        <v>0</v>
      </c>
      <c r="BI130" s="248">
        <f t="shared" si="144"/>
        <v>12.373163999999999</v>
      </c>
      <c r="BJ130" s="249"/>
      <c r="BK130" s="242"/>
      <c r="BL130" s="250"/>
      <c r="BM130" s="250"/>
      <c r="BN130" s="242"/>
      <c r="BO130" s="250"/>
      <c r="BP130" s="250"/>
      <c r="BQ130" s="251">
        <f t="shared" si="145"/>
        <v>0</v>
      </c>
      <c r="BR130" s="80"/>
      <c r="BS130" s="77"/>
      <c r="BT130" s="77"/>
      <c r="BU130" s="77"/>
      <c r="BV130" s="77"/>
      <c r="BW130" s="77"/>
      <c r="BX130" s="77"/>
      <c r="BY130" s="248">
        <f t="shared" si="146"/>
        <v>0</v>
      </c>
      <c r="BZ130" s="230">
        <v>7.28</v>
      </c>
      <c r="CA130" s="222">
        <v>10.85</v>
      </c>
      <c r="CB130" s="222">
        <v>10.33</v>
      </c>
      <c r="CC130" s="222">
        <v>5.72</v>
      </c>
      <c r="CD130" s="245">
        <f t="shared" si="120"/>
        <v>78.571428571428569</v>
      </c>
      <c r="CE130" s="222">
        <v>0</v>
      </c>
      <c r="CF130" s="251">
        <f t="shared" si="137"/>
        <v>53.232399999999998</v>
      </c>
      <c r="CG130" s="322">
        <v>5.57</v>
      </c>
      <c r="CH130" s="323">
        <v>10.08</v>
      </c>
      <c r="CI130" s="323">
        <v>8.6</v>
      </c>
      <c r="CJ130" s="323">
        <v>2.92</v>
      </c>
      <c r="CK130" s="242">
        <f t="shared" si="121"/>
        <v>52.423698384201082</v>
      </c>
      <c r="CL130" s="222">
        <v>0</v>
      </c>
      <c r="CM130" s="248">
        <f t="shared" si="122"/>
        <v>26.852499999999999</v>
      </c>
      <c r="CN130" s="253">
        <f t="shared" si="123"/>
        <v>1</v>
      </c>
      <c r="CO130" s="242">
        <f t="shared" si="124"/>
        <v>26.561599000000001</v>
      </c>
      <c r="CP130" s="242">
        <f t="shared" si="125"/>
        <v>1</v>
      </c>
      <c r="CQ130" s="242">
        <f t="shared" si="126"/>
        <v>12.373163999999999</v>
      </c>
      <c r="CR130" s="242">
        <f>IF(AV130&gt;0,'Look Ups'!$L$3,0)</f>
        <v>1</v>
      </c>
      <c r="CS130" s="242">
        <f t="shared" si="147"/>
        <v>0</v>
      </c>
      <c r="CT130" s="242">
        <f t="shared" si="148"/>
        <v>0</v>
      </c>
      <c r="CU130" s="242">
        <f t="shared" si="149"/>
        <v>0</v>
      </c>
      <c r="CV130" s="251">
        <f t="shared" si="150"/>
        <v>0</v>
      </c>
      <c r="CW130" s="254" t="str">
        <f t="shared" si="127"/>
        <v>valid</v>
      </c>
      <c r="CX130" s="245" t="str">
        <f t="shared" si="128"/>
        <v>valid</v>
      </c>
      <c r="CY130" s="246" t="str">
        <f t="shared" si="129"/>
        <v>MGScrSp</v>
      </c>
      <c r="CZ130" s="253">
        <f t="shared" si="130"/>
        <v>38.934763000000004</v>
      </c>
      <c r="DA130" s="242">
        <f t="shared" si="131"/>
        <v>12.257770799999998</v>
      </c>
      <c r="DB130" s="242">
        <f t="shared" si="132"/>
        <v>5.0677675999999998</v>
      </c>
      <c r="DC130" s="242">
        <f t="shared" si="133"/>
        <v>12.053474619999998</v>
      </c>
      <c r="DD130" s="242">
        <f t="shared" si="134"/>
        <v>0.79636348000000001</v>
      </c>
      <c r="DE130" s="251">
        <f t="shared" si="135"/>
        <v>40.467113980000001</v>
      </c>
      <c r="DF130" s="255">
        <f t="shared" si="136"/>
        <v>51.784601099999996</v>
      </c>
      <c r="DG130" s="412"/>
    </row>
    <row r="131" spans="2:111" ht="15.5" x14ac:dyDescent="0.25">
      <c r="B131" s="418"/>
      <c r="C131" s="414" t="s">
        <v>525</v>
      </c>
      <c r="D131" s="48" t="s">
        <v>526</v>
      </c>
      <c r="E131" s="49" t="s">
        <v>1023</v>
      </c>
      <c r="F131" s="415">
        <f t="shared" si="112"/>
        <v>0.91600129870790148</v>
      </c>
      <c r="G131" s="415" t="str">
        <f t="shared" ca="1" si="113"/>
        <v>No</v>
      </c>
      <c r="H131" s="241" t="str">
        <f t="shared" si="114"/>
        <v>Main - Genoa - Screacher - Spinnaker</v>
      </c>
      <c r="I131" s="52"/>
      <c r="J131" s="52">
        <v>42486</v>
      </c>
      <c r="K131" s="53" t="s">
        <v>233</v>
      </c>
      <c r="L131" s="53" t="s">
        <v>137</v>
      </c>
      <c r="M131" s="368" t="s">
        <v>1067</v>
      </c>
      <c r="N131" s="55" t="s">
        <v>149</v>
      </c>
      <c r="O131" s="55"/>
      <c r="P131" s="56">
        <v>8.5</v>
      </c>
      <c r="Q131" s="57">
        <v>18.309999999999999</v>
      </c>
      <c r="R131" s="58"/>
      <c r="S131" s="59">
        <f t="shared" si="111"/>
        <v>0.45774999999999999</v>
      </c>
      <c r="T131" s="60"/>
      <c r="U131" s="60"/>
      <c r="V131" s="61">
        <f t="shared" si="108"/>
        <v>18.309999999999999</v>
      </c>
      <c r="W131" s="62">
        <f>IF(RL&gt;0,IF(RL&gt;'Look Ups'!R$7,'Look Ups'!R$8,('Look Ups'!R$3*RL^3+'Look Ups'!R$4*RL^2+'Look Ups'!R$5*RL+'Look Ups'!R$6)),0)</f>
        <v>0.3</v>
      </c>
      <c r="X131" s="63">
        <v>13180</v>
      </c>
      <c r="Y131" s="64"/>
      <c r="Z131" s="64"/>
      <c r="AA131" s="64"/>
      <c r="AB131" s="65">
        <f t="shared" si="115"/>
        <v>13180</v>
      </c>
      <c r="AC131" s="66">
        <f t="shared" si="116"/>
        <v>13180</v>
      </c>
      <c r="AD131" s="67" t="s">
        <v>129</v>
      </c>
      <c r="AE131" s="68" t="s">
        <v>130</v>
      </c>
      <c r="AF131" s="69" t="s">
        <v>161</v>
      </c>
      <c r="AG131" s="70">
        <f>IF(C131="",0,VLOOKUP(AD131,'Look Ups'!$B$3:$C$6,2,0)*VLOOKUP(AE131,'Look Ups'!$E$3:$F$5,2,0)*VLOOKUP(AF131,'Look Ups'!$H$3:$I$7,2,0))</f>
        <v>0.99</v>
      </c>
      <c r="AH131" s="71">
        <v>22.76</v>
      </c>
      <c r="AI131" s="60">
        <v>22.22</v>
      </c>
      <c r="AJ131" s="60">
        <v>6.69</v>
      </c>
      <c r="AK131" s="60">
        <v>2.35</v>
      </c>
      <c r="AL131" s="60">
        <v>0.85</v>
      </c>
      <c r="AM131" s="60">
        <v>21.88</v>
      </c>
      <c r="AN131" s="60">
        <v>0.22500000000000001</v>
      </c>
      <c r="AO131" s="60">
        <v>7.27</v>
      </c>
      <c r="AP131" s="60">
        <v>8.5000000000000006E-2</v>
      </c>
      <c r="AQ131" s="60"/>
      <c r="AR131" s="60" t="s">
        <v>132</v>
      </c>
      <c r="AS131" s="75"/>
      <c r="AT131" s="59">
        <f t="shared" si="117"/>
        <v>21.965</v>
      </c>
      <c r="AU131" s="59">
        <f t="shared" si="118"/>
        <v>0</v>
      </c>
      <c r="AV131" s="72">
        <f>IF(C131="",0,(0.5*(_ML1*LPM)+0.5*(_ML1*HB)+0.66*(P*PR)+0.66*(_ML2*RDM)+0.66*(E*ER))*VLOOKUP(BATT,'Look Ups'!$N$3:$O$4,2,0))</f>
        <v>118.997647</v>
      </c>
      <c r="AW131" s="73"/>
      <c r="AX131" s="74"/>
      <c r="AY131" s="71">
        <v>21.3</v>
      </c>
      <c r="AZ131" s="60">
        <v>5.35</v>
      </c>
      <c r="BA131" s="60">
        <v>5.59</v>
      </c>
      <c r="BB131" s="60">
        <v>0.18</v>
      </c>
      <c r="BC131" s="60">
        <v>20.45</v>
      </c>
      <c r="BD131" s="60"/>
      <c r="BE131" s="60"/>
      <c r="BF131" s="60">
        <v>0.26</v>
      </c>
      <c r="BG131" s="60">
        <v>0.13</v>
      </c>
      <c r="BH131" s="75"/>
      <c r="BI131" s="72">
        <f t="shared" si="144"/>
        <v>62.978351999999994</v>
      </c>
      <c r="BJ131" s="76"/>
      <c r="BK131" s="77"/>
      <c r="BL131" s="78"/>
      <c r="BM131" s="78"/>
      <c r="BN131" s="77"/>
      <c r="BO131" s="78"/>
      <c r="BP131" s="78"/>
      <c r="BQ131" s="79">
        <f t="shared" si="145"/>
        <v>0</v>
      </c>
      <c r="BR131" s="80"/>
      <c r="BS131" s="77"/>
      <c r="BT131" s="77"/>
      <c r="BU131" s="77"/>
      <c r="BV131" s="77"/>
      <c r="BW131" s="77"/>
      <c r="BX131" s="77"/>
      <c r="BY131" s="72">
        <f t="shared" si="146"/>
        <v>0</v>
      </c>
      <c r="BZ131" s="73">
        <v>14.75</v>
      </c>
      <c r="CA131" s="60">
        <v>24.33</v>
      </c>
      <c r="CB131" s="60">
        <v>25.06</v>
      </c>
      <c r="CC131" s="60">
        <v>12.2</v>
      </c>
      <c r="CD131" s="65">
        <f t="shared" si="120"/>
        <v>82.711864406779654</v>
      </c>
      <c r="CE131" s="60"/>
      <c r="CF131" s="79">
        <f t="shared" si="137"/>
        <v>261.56120833333335</v>
      </c>
      <c r="CG131" s="71">
        <v>13.75</v>
      </c>
      <c r="CH131" s="60">
        <v>23.26</v>
      </c>
      <c r="CI131" s="60">
        <v>24.78</v>
      </c>
      <c r="CJ131" s="60">
        <v>9.2100000000000009</v>
      </c>
      <c r="CK131" s="59">
        <f t="shared" si="121"/>
        <v>66.981818181818184</v>
      </c>
      <c r="CL131" s="60"/>
      <c r="CM131" s="72">
        <f t="shared" si="122"/>
        <v>202.52863333333337</v>
      </c>
      <c r="CN131" s="81">
        <f t="shared" si="123"/>
        <v>1</v>
      </c>
      <c r="CO131" s="59">
        <f t="shared" si="124"/>
        <v>118.997647</v>
      </c>
      <c r="CP131" s="59">
        <f t="shared" si="125"/>
        <v>1</v>
      </c>
      <c r="CQ131" s="59">
        <f t="shared" si="126"/>
        <v>62.978351999999994</v>
      </c>
      <c r="CR131" s="59">
        <f>IF(AV131&gt;0,'Look Ups'!$L$3,0)</f>
        <v>1</v>
      </c>
      <c r="CS131" s="59">
        <f t="shared" si="147"/>
        <v>0</v>
      </c>
      <c r="CT131" s="59">
        <f t="shared" si="148"/>
        <v>0</v>
      </c>
      <c r="CU131" s="59">
        <f t="shared" si="149"/>
        <v>0</v>
      </c>
      <c r="CV131" s="79">
        <f t="shared" si="150"/>
        <v>0</v>
      </c>
      <c r="CW131" s="82" t="str">
        <f t="shared" si="127"/>
        <v>valid</v>
      </c>
      <c r="CX131" s="65" t="str">
        <f t="shared" si="128"/>
        <v>valid</v>
      </c>
      <c r="CY131" s="66" t="str">
        <f t="shared" si="129"/>
        <v>MGScrSp</v>
      </c>
      <c r="CZ131" s="81">
        <f t="shared" si="130"/>
        <v>181.975999</v>
      </c>
      <c r="DA131" s="59">
        <f t="shared" si="131"/>
        <v>59.5748569</v>
      </c>
      <c r="DB131" s="59">
        <f t="shared" si="132"/>
        <v>48.842598466666679</v>
      </c>
      <c r="DC131" s="59">
        <f t="shared" si="133"/>
        <v>58.581942618333336</v>
      </c>
      <c r="DD131" s="59">
        <f t="shared" si="134"/>
        <v>7.6752654733333356</v>
      </c>
      <c r="DE131" s="79">
        <f t="shared" si="135"/>
        <v>188.02608286</v>
      </c>
      <c r="DF131" s="83">
        <f t="shared" si="136"/>
        <v>248.23320709166666</v>
      </c>
      <c r="DG131" s="412"/>
    </row>
    <row r="132" spans="2:111" ht="16.5" customHeight="1" x14ac:dyDescent="0.25">
      <c r="C132" s="31"/>
      <c r="D132" s="88"/>
      <c r="E132" s="31"/>
      <c r="F132" s="89"/>
      <c r="G132" s="89"/>
      <c r="H132" s="90"/>
      <c r="J132" s="7"/>
      <c r="K132" s="29"/>
      <c r="L132" s="29"/>
      <c r="M132" s="91"/>
      <c r="N132" s="92"/>
      <c r="O132" s="92"/>
      <c r="P132" s="88"/>
      <c r="Q132" s="2"/>
      <c r="R132" s="2"/>
      <c r="S132" s="17"/>
      <c r="T132" s="93"/>
      <c r="U132" s="93"/>
      <c r="V132" s="94"/>
      <c r="W132" s="95"/>
      <c r="X132" s="16"/>
      <c r="Y132" s="16"/>
      <c r="Z132" s="16"/>
      <c r="AA132" s="16"/>
      <c r="AB132" s="16"/>
      <c r="AC132" s="16"/>
      <c r="AD132" s="90"/>
      <c r="AE132" s="90"/>
      <c r="AF132" s="8"/>
      <c r="AG132" s="8"/>
      <c r="AH132" s="17"/>
      <c r="AI132" s="17"/>
      <c r="AJ132" s="17"/>
      <c r="AK132" s="17"/>
      <c r="AL132" s="17"/>
      <c r="AM132" s="17"/>
      <c r="AN132" s="17"/>
      <c r="AO132" s="17"/>
      <c r="AP132" s="17"/>
      <c r="AQ132" s="17"/>
      <c r="AR132" s="17"/>
      <c r="AS132" s="96"/>
      <c r="AT132" s="17"/>
      <c r="AU132" s="17"/>
      <c r="AY132" s="17"/>
      <c r="AZ132" s="17"/>
      <c r="BA132" s="17"/>
      <c r="BB132" s="17"/>
      <c r="BC132" s="17"/>
      <c r="BD132" s="17"/>
      <c r="BE132" s="17"/>
      <c r="BF132" s="17"/>
      <c r="BG132" s="17"/>
      <c r="BH132" s="96"/>
      <c r="BI132" s="17"/>
      <c r="BJ132" s="93"/>
      <c r="BK132" s="17"/>
      <c r="BL132" s="2"/>
      <c r="BM132" s="2"/>
      <c r="BN132" s="17"/>
      <c r="BO132" s="2"/>
      <c r="BP132" s="2"/>
      <c r="BQ132" s="17"/>
      <c r="BR132" s="17"/>
      <c r="BT132" s="17"/>
      <c r="BU132" s="17"/>
      <c r="BV132" s="17"/>
      <c r="BW132" s="17"/>
      <c r="BY132" s="17"/>
      <c r="BZ132" s="17"/>
      <c r="CA132" s="17"/>
      <c r="CB132" s="17"/>
      <c r="CC132" s="17"/>
      <c r="CD132" s="16"/>
      <c r="CE132" s="17"/>
      <c r="CF132" s="17"/>
      <c r="CG132" s="17"/>
      <c r="CH132" s="17"/>
      <c r="CI132" s="17"/>
      <c r="CJ132" s="17"/>
      <c r="CK132" s="17"/>
      <c r="CL132" s="17"/>
      <c r="CM132" s="17"/>
      <c r="CN132" s="17"/>
      <c r="CO132" s="17"/>
      <c r="CS132" s="17"/>
      <c r="CW132" s="16"/>
      <c r="CX132" s="16"/>
      <c r="CY132" s="16"/>
      <c r="CZ132" s="17"/>
      <c r="DA132" s="17"/>
      <c r="DB132" s="17"/>
      <c r="DC132" s="17"/>
      <c r="DD132" s="17"/>
      <c r="DE132" s="17"/>
      <c r="DF132" s="17"/>
    </row>
    <row r="133" spans="2:111" ht="16.5" customHeight="1" thickBot="1" x14ac:dyDescent="0.3">
      <c r="C133" s="98"/>
      <c r="D133" s="99"/>
      <c r="E133" s="98"/>
      <c r="F133" s="100"/>
      <c r="G133" s="100"/>
      <c r="H133" s="101"/>
      <c r="I133" s="102"/>
      <c r="J133" s="102"/>
      <c r="K133" s="103"/>
      <c r="L133" s="103"/>
      <c r="M133" s="104"/>
      <c r="N133" s="105"/>
      <c r="O133" s="105"/>
      <c r="P133" s="99"/>
      <c r="Q133" s="97"/>
      <c r="R133" s="97"/>
      <c r="S133" s="106"/>
      <c r="T133" s="107"/>
      <c r="U133" s="107"/>
      <c r="V133" s="108"/>
      <c r="W133" s="109"/>
      <c r="X133" s="110"/>
      <c r="Y133" s="110"/>
      <c r="Z133" s="110"/>
      <c r="AA133" s="110"/>
      <c r="AB133" s="110"/>
      <c r="AC133" s="110"/>
      <c r="AD133" s="101"/>
      <c r="AE133" s="101"/>
      <c r="AF133" s="111"/>
      <c r="AG133" s="111"/>
      <c r="AH133" s="106"/>
      <c r="AI133" s="106"/>
      <c r="AJ133" s="106"/>
      <c r="AK133" s="106"/>
      <c r="AL133" s="106"/>
      <c r="AM133" s="106"/>
      <c r="AN133" s="106"/>
      <c r="AO133" s="106"/>
      <c r="AP133" s="106"/>
      <c r="AQ133" s="106"/>
      <c r="AR133" s="106"/>
      <c r="AS133" s="112"/>
      <c r="AT133" s="106"/>
      <c r="AU133" s="106"/>
      <c r="AV133" s="106"/>
      <c r="AW133" s="106"/>
      <c r="AX133" s="106"/>
      <c r="AY133" s="106"/>
      <c r="AZ133" s="106"/>
      <c r="BA133" s="106"/>
      <c r="BB133" s="106"/>
      <c r="BC133" s="106"/>
      <c r="BD133" s="106"/>
      <c r="BE133" s="106"/>
      <c r="BF133" s="106"/>
      <c r="BG133" s="106"/>
      <c r="BH133" s="112"/>
      <c r="BI133" s="106"/>
      <c r="BJ133" s="107"/>
      <c r="BK133" s="106"/>
      <c r="BL133" s="97"/>
      <c r="BM133" s="97"/>
      <c r="BN133" s="106"/>
      <c r="BO133" s="97"/>
      <c r="BP133" s="97"/>
      <c r="BQ133" s="106"/>
      <c r="BR133" s="106"/>
      <c r="BS133" s="106"/>
      <c r="BT133" s="106"/>
      <c r="BU133" s="106"/>
      <c r="BV133" s="106"/>
      <c r="BW133" s="106"/>
      <c r="BX133" s="106"/>
      <c r="BY133" s="106"/>
      <c r="BZ133" s="106"/>
      <c r="CA133" s="106"/>
      <c r="CB133" s="106"/>
      <c r="CC133" s="106"/>
      <c r="CD133" s="110"/>
      <c r="CE133" s="106"/>
      <c r="CF133" s="106"/>
      <c r="CG133" s="106"/>
      <c r="CH133" s="106"/>
      <c r="CI133" s="106"/>
      <c r="CJ133" s="106"/>
      <c r="CK133" s="106"/>
      <c r="CL133" s="106"/>
      <c r="CM133" s="106"/>
      <c r="CN133" s="106"/>
      <c r="CO133" s="106"/>
      <c r="CP133" s="106"/>
      <c r="CQ133" s="106"/>
      <c r="CR133" s="106"/>
      <c r="CS133" s="106"/>
      <c r="CT133" s="106"/>
      <c r="CU133" s="106"/>
      <c r="CV133" s="106"/>
      <c r="CW133" s="110"/>
      <c r="CX133" s="110"/>
      <c r="CY133" s="110"/>
      <c r="CZ133" s="106"/>
      <c r="DA133" s="106"/>
      <c r="DB133" s="106"/>
      <c r="DC133" s="106"/>
      <c r="DD133" s="106"/>
      <c r="DE133" s="106"/>
      <c r="DF133" s="106"/>
    </row>
    <row r="134" spans="2:111" ht="39.5" thickBot="1" x14ac:dyDescent="0.3">
      <c r="B134" s="97"/>
      <c r="C134" s="359" t="s">
        <v>18</v>
      </c>
      <c r="D134" s="360" t="s">
        <v>19</v>
      </c>
      <c r="E134" s="361" t="s">
        <v>20</v>
      </c>
      <c r="F134" s="362" t="s">
        <v>21</v>
      </c>
      <c r="G134" s="362" t="s">
        <v>1061</v>
      </c>
      <c r="H134" s="363" t="s">
        <v>22</v>
      </c>
      <c r="I134" s="114" t="s">
        <v>23</v>
      </c>
      <c r="J134" s="115" t="s">
        <v>24</v>
      </c>
      <c r="K134" s="116" t="s">
        <v>25</v>
      </c>
      <c r="L134" s="115" t="s">
        <v>26</v>
      </c>
      <c r="M134" s="115" t="s">
        <v>27</v>
      </c>
      <c r="N134" s="117" t="s">
        <v>28</v>
      </c>
      <c r="O134" s="117" t="s">
        <v>29</v>
      </c>
      <c r="P134" s="118" t="s">
        <v>30</v>
      </c>
      <c r="Q134" s="119" t="s">
        <v>31</v>
      </c>
      <c r="R134" s="120" t="s">
        <v>32</v>
      </c>
      <c r="S134" s="120" t="s">
        <v>33</v>
      </c>
      <c r="T134" s="120" t="s">
        <v>34</v>
      </c>
      <c r="U134" s="120" t="s">
        <v>35</v>
      </c>
      <c r="V134" s="121" t="s">
        <v>36</v>
      </c>
      <c r="W134" s="122" t="s">
        <v>37</v>
      </c>
      <c r="X134" s="123" t="s">
        <v>38</v>
      </c>
      <c r="Y134" s="124" t="s">
        <v>39</v>
      </c>
      <c r="Z134" s="125" t="s">
        <v>40</v>
      </c>
      <c r="AA134" s="125" t="s">
        <v>41</v>
      </c>
      <c r="AB134" s="124" t="s">
        <v>42</v>
      </c>
      <c r="AC134" s="126" t="s">
        <v>43</v>
      </c>
      <c r="AD134" s="127" t="s">
        <v>44</v>
      </c>
      <c r="AE134" s="121" t="s">
        <v>45</v>
      </c>
      <c r="AF134" s="128" t="s">
        <v>46</v>
      </c>
      <c r="AG134" s="129" t="s">
        <v>47</v>
      </c>
      <c r="AH134" s="130" t="s">
        <v>48</v>
      </c>
      <c r="AI134" s="131" t="s">
        <v>49</v>
      </c>
      <c r="AJ134" s="131" t="s">
        <v>50</v>
      </c>
      <c r="AK134" s="131" t="s">
        <v>51</v>
      </c>
      <c r="AL134" s="131" t="s">
        <v>52</v>
      </c>
      <c r="AM134" s="131" t="s">
        <v>53</v>
      </c>
      <c r="AN134" s="131" t="s">
        <v>54</v>
      </c>
      <c r="AO134" s="131" t="s">
        <v>55</v>
      </c>
      <c r="AP134" s="131" t="s">
        <v>56</v>
      </c>
      <c r="AQ134" s="131" t="s">
        <v>57</v>
      </c>
      <c r="AR134" s="120" t="s">
        <v>58</v>
      </c>
      <c r="AS134" s="117" t="s">
        <v>59</v>
      </c>
      <c r="AT134" s="131" t="s">
        <v>60</v>
      </c>
      <c r="AU134" s="120" t="s">
        <v>61</v>
      </c>
      <c r="AV134" s="118" t="s">
        <v>62</v>
      </c>
      <c r="AW134" s="119" t="s">
        <v>63</v>
      </c>
      <c r="AX134" s="132" t="s">
        <v>64</v>
      </c>
      <c r="AY134" s="130" t="s">
        <v>65</v>
      </c>
      <c r="AZ134" s="131" t="s">
        <v>66</v>
      </c>
      <c r="BA134" s="131" t="s">
        <v>67</v>
      </c>
      <c r="BB134" s="131" t="s">
        <v>68</v>
      </c>
      <c r="BC134" s="131" t="s">
        <v>69</v>
      </c>
      <c r="BD134" s="131" t="s">
        <v>70</v>
      </c>
      <c r="BE134" s="120" t="s">
        <v>71</v>
      </c>
      <c r="BF134" s="120" t="s">
        <v>72</v>
      </c>
      <c r="BG134" s="120" t="s">
        <v>73</v>
      </c>
      <c r="BH134" s="117" t="s">
        <v>59</v>
      </c>
      <c r="BI134" s="118" t="s">
        <v>74</v>
      </c>
      <c r="BJ134" s="133" t="s">
        <v>75</v>
      </c>
      <c r="BK134" s="131" t="s">
        <v>76</v>
      </c>
      <c r="BL134" s="134" t="s">
        <v>77</v>
      </c>
      <c r="BM134" s="134" t="s">
        <v>78</v>
      </c>
      <c r="BN134" s="131" t="s">
        <v>79</v>
      </c>
      <c r="BO134" s="134" t="s">
        <v>80</v>
      </c>
      <c r="BP134" s="134" t="s">
        <v>81</v>
      </c>
      <c r="BQ134" s="132" t="s">
        <v>82</v>
      </c>
      <c r="BR134" s="130" t="s">
        <v>83</v>
      </c>
      <c r="BS134" s="131" t="s">
        <v>84</v>
      </c>
      <c r="BT134" s="131" t="s">
        <v>85</v>
      </c>
      <c r="BU134" s="131" t="s">
        <v>86</v>
      </c>
      <c r="BV134" s="131" t="s">
        <v>87</v>
      </c>
      <c r="BW134" s="131" t="s">
        <v>88</v>
      </c>
      <c r="BX134" s="131" t="s">
        <v>89</v>
      </c>
      <c r="BY134" s="118" t="s">
        <v>90</v>
      </c>
      <c r="BZ134" s="135" t="s">
        <v>91</v>
      </c>
      <c r="CA134" s="131" t="s">
        <v>92</v>
      </c>
      <c r="CB134" s="131" t="s">
        <v>93</v>
      </c>
      <c r="CC134" s="131" t="s">
        <v>94</v>
      </c>
      <c r="CD134" s="120" t="s">
        <v>95</v>
      </c>
      <c r="CE134" s="120" t="s">
        <v>96</v>
      </c>
      <c r="CF134" s="132" t="s">
        <v>97</v>
      </c>
      <c r="CG134" s="130" t="s">
        <v>98</v>
      </c>
      <c r="CH134" s="131" t="s">
        <v>99</v>
      </c>
      <c r="CI134" s="131" t="s">
        <v>100</v>
      </c>
      <c r="CJ134" s="131" t="s">
        <v>101</v>
      </c>
      <c r="CK134" s="121" t="s">
        <v>102</v>
      </c>
      <c r="CL134" s="120" t="s">
        <v>59</v>
      </c>
      <c r="CM134" s="136" t="s">
        <v>103</v>
      </c>
      <c r="CN134" s="137" t="s">
        <v>104</v>
      </c>
      <c r="CO134" s="121" t="s">
        <v>105</v>
      </c>
      <c r="CP134" s="120" t="s">
        <v>106</v>
      </c>
      <c r="CQ134" s="120" t="s">
        <v>107</v>
      </c>
      <c r="CR134" s="120" t="s">
        <v>108</v>
      </c>
      <c r="CS134" s="121" t="s">
        <v>109</v>
      </c>
      <c r="CT134" s="120" t="s">
        <v>110</v>
      </c>
      <c r="CU134" s="120" t="s">
        <v>111</v>
      </c>
      <c r="CV134" s="138" t="s">
        <v>112</v>
      </c>
      <c r="CW134" s="139" t="s">
        <v>113</v>
      </c>
      <c r="CX134" s="120" t="s">
        <v>114</v>
      </c>
      <c r="CY134" s="118" t="s">
        <v>115</v>
      </c>
      <c r="CZ134" s="137" t="s">
        <v>116</v>
      </c>
      <c r="DA134" s="121" t="s">
        <v>117</v>
      </c>
      <c r="DB134" s="121" t="s">
        <v>118</v>
      </c>
      <c r="DC134" s="121" t="s">
        <v>119</v>
      </c>
      <c r="DD134" s="121" t="s">
        <v>120</v>
      </c>
      <c r="DE134" s="138" t="s">
        <v>121</v>
      </c>
      <c r="DF134" s="140" t="s">
        <v>122</v>
      </c>
    </row>
    <row r="135" spans="2:111" ht="16.5" customHeight="1" thickBot="1" x14ac:dyDescent="0.3">
      <c r="B135" s="113" t="s">
        <v>17</v>
      </c>
      <c r="C135" s="443" t="s">
        <v>533</v>
      </c>
      <c r="D135" s="444"/>
      <c r="E135" s="445"/>
      <c r="F135" s="141"/>
      <c r="G135" s="141"/>
      <c r="H135" s="142"/>
      <c r="I135" s="143"/>
      <c r="J135" s="143"/>
      <c r="K135" s="144"/>
      <c r="L135" s="144"/>
      <c r="M135" s="145"/>
      <c r="N135" s="146"/>
      <c r="O135" s="146"/>
      <c r="P135" s="147"/>
      <c r="Q135" s="148"/>
      <c r="R135" s="149"/>
      <c r="S135" s="150"/>
      <c r="T135" s="151"/>
      <c r="U135" s="151"/>
      <c r="V135" s="152"/>
      <c r="W135" s="153"/>
      <c r="X135" s="154"/>
      <c r="Y135" s="155"/>
      <c r="Z135" s="155"/>
      <c r="AA135" s="155"/>
      <c r="AB135" s="155"/>
      <c r="AC135" s="156"/>
      <c r="AD135" s="142"/>
      <c r="AE135" s="157"/>
      <c r="AF135" s="158"/>
      <c r="AG135" s="159"/>
      <c r="AH135" s="160"/>
      <c r="AI135" s="150"/>
      <c r="AJ135" s="150"/>
      <c r="AK135" s="150"/>
      <c r="AL135" s="150"/>
      <c r="AM135" s="150"/>
      <c r="AN135" s="150"/>
      <c r="AO135" s="150"/>
      <c r="AP135" s="150"/>
      <c r="AQ135" s="150"/>
      <c r="AR135" s="150"/>
      <c r="AS135" s="164"/>
      <c r="AT135" s="150"/>
      <c r="AU135" s="150"/>
      <c r="AV135" s="161"/>
      <c r="AW135" s="162"/>
      <c r="AX135" s="163"/>
      <c r="AY135" s="160"/>
      <c r="AZ135" s="150"/>
      <c r="BA135" s="150"/>
      <c r="BB135" s="150"/>
      <c r="BC135" s="150"/>
      <c r="BD135" s="150"/>
      <c r="BE135" s="150"/>
      <c r="BF135" s="150"/>
      <c r="BG135" s="150"/>
      <c r="BH135" s="164"/>
      <c r="BI135" s="161"/>
      <c r="BJ135" s="165"/>
      <c r="BK135" s="150"/>
      <c r="BL135" s="149"/>
      <c r="BM135" s="149"/>
      <c r="BN135" s="150"/>
      <c r="BO135" s="149"/>
      <c r="BP135" s="149"/>
      <c r="BQ135" s="163"/>
      <c r="BR135" s="160"/>
      <c r="BS135" s="150"/>
      <c r="BT135" s="150"/>
      <c r="BU135" s="150"/>
      <c r="BV135" s="150"/>
      <c r="BW135" s="150"/>
      <c r="BX135" s="150"/>
      <c r="BY135" s="161"/>
      <c r="BZ135" s="162"/>
      <c r="CA135" s="150"/>
      <c r="CB135" s="150"/>
      <c r="CC135" s="150"/>
      <c r="CD135" s="155"/>
      <c r="CE135" s="150"/>
      <c r="CF135" s="163"/>
      <c r="CG135" s="160"/>
      <c r="CH135" s="150"/>
      <c r="CI135" s="150"/>
      <c r="CJ135" s="150"/>
      <c r="CK135" s="150"/>
      <c r="CL135" s="150"/>
      <c r="CM135" s="161"/>
      <c r="CN135" s="162"/>
      <c r="CO135" s="150"/>
      <c r="CP135" s="150"/>
      <c r="CQ135" s="150"/>
      <c r="CR135" s="150"/>
      <c r="CS135" s="150"/>
      <c r="CT135" s="150"/>
      <c r="CU135" s="150"/>
      <c r="CV135" s="163"/>
      <c r="CW135" s="154"/>
      <c r="CX135" s="155"/>
      <c r="CY135" s="156"/>
      <c r="CZ135" s="162"/>
      <c r="DA135" s="150"/>
      <c r="DB135" s="150"/>
      <c r="DC135" s="150"/>
      <c r="DD135" s="150"/>
      <c r="DE135" s="163"/>
      <c r="DF135" s="166">
        <f>IF(AND(CW135="-",CX135="-"),DE135,IF(AND(CX135="-",NOT(CW135="-"),MSASC&gt;=0.36*RSAM),RAMG+RASCO,IF(AND(NOT(CX135="-"),CW135="-"),RAMG+RASPO,IF(AND(NOT(CW135="-"),NOT(CX135="-")),RAMG+RASPSC+RASCR))))+RSAST+RSAD+RSAMZ+RSA2M</f>
        <v>0</v>
      </c>
    </row>
    <row r="136" spans="2:111" ht="16.5" customHeight="1" x14ac:dyDescent="0.25">
      <c r="B136" s="330"/>
      <c r="C136" s="167" t="s">
        <v>534</v>
      </c>
      <c r="D136" s="307" t="s">
        <v>535</v>
      </c>
      <c r="E136" s="308" t="s">
        <v>536</v>
      </c>
      <c r="F136" s="50">
        <f t="shared" ref="F136:F197" si="151">IF(RW=0,0,DLF*(0.93*RL^LF*RSA^0.4/RW^0.325))</f>
        <v>0.70812540801512014</v>
      </c>
      <c r="G136" s="50" t="str">
        <f t="shared" ref="G136:G167" ca="1" si="152">IF(F136&gt;0,IF(OR(TODAY()-3650&gt;I136,CW136="ERROR",CX136="ERROR"),"No","Yes"),0)</f>
        <v>No</v>
      </c>
      <c r="H136" s="32" t="str">
        <f t="shared" ref="H136:H167" si="153">IF(CY136="","",IF(CY136="MG","Main - Genoa",IF(CY136="MGScr","Main - Genoa - Screacher",IF(CY136="MGSp","Main - Genoa - Spinnaker",IF(CY136="MGScrSp","Main - Genoa - Screacher - Spinnaker","Invalid"))))&amp;IF(AS&gt;0," - Staysail ","")&amp;IF(AD&gt;0," - Drifter","")&amp;IF(RSAMZ&gt;0," - Mizzen","")&amp;IF(RSA2M&gt;0," - Bi-Rig",""))</f>
        <v>Main - Genoa - Spinnaker</v>
      </c>
      <c r="I136" s="309">
        <v>37884</v>
      </c>
      <c r="J136" s="309"/>
      <c r="K136" s="310" t="s">
        <v>205</v>
      </c>
      <c r="L136" s="310" t="s">
        <v>390</v>
      </c>
      <c r="M136" s="309"/>
      <c r="N136" s="311" t="s">
        <v>537</v>
      </c>
      <c r="O136" s="311"/>
      <c r="P136" s="331"/>
      <c r="Q136" s="312">
        <v>6.86</v>
      </c>
      <c r="R136" s="41"/>
      <c r="S136" s="33">
        <f t="shared" ref="S136:S167" si="154">IF((LOAA&gt;LOA),0.025*LOAA,0.025*LOA)</f>
        <v>0.17150000000000001</v>
      </c>
      <c r="T136" s="313">
        <v>0.4</v>
      </c>
      <c r="U136" s="313">
        <v>0</v>
      </c>
      <c r="V136" s="34">
        <f t="shared" ref="V136:V167" si="155">IF((LOAA&gt;LOA),LOAA,LOA-FOC-AOC)</f>
        <v>6.46</v>
      </c>
      <c r="W136" s="35">
        <f>IF(RL&gt;0,IF(RL&gt;'Look Ups'!R$7,'Look Ups'!R$8,('Look Ups'!R$3*RL^3+'Look Ups'!R$4*RL^2+'Look Ups'!R$5*RL+'Look Ups'!R$6)),0)</f>
        <v>0.28694210248800001</v>
      </c>
      <c r="X136" s="314">
        <v>2131</v>
      </c>
      <c r="Y136" s="332"/>
      <c r="Z136" s="332"/>
      <c r="AA136" s="332"/>
      <c r="AB136" s="36">
        <f t="shared" ref="AB136:AB167" si="156">WM+WE</f>
        <v>2131</v>
      </c>
      <c r="AC136" s="37">
        <f t="shared" ref="AC136:AC167" si="157">WS+WCD+4*NC</f>
        <v>2131</v>
      </c>
      <c r="AD136" s="333" t="s">
        <v>154</v>
      </c>
      <c r="AE136" s="334" t="s">
        <v>130</v>
      </c>
      <c r="AF136" s="335" t="s">
        <v>131</v>
      </c>
      <c r="AG136" s="336">
        <f>IF(C136="",0,VLOOKUP(AD136,'Look Ups'!$B$3:$C$6,2,0)*VLOOKUP(AE136,'Look Ups'!$E$3:$F$5,2,0)*VLOOKUP(AF136,'Look Ups'!$H$3:$I$7,2,0))</f>
        <v>0.99</v>
      </c>
      <c r="AH136" s="43">
        <v>13.21</v>
      </c>
      <c r="AI136" s="40">
        <v>12.9</v>
      </c>
      <c r="AJ136" s="40">
        <v>3.9290000000000003</v>
      </c>
      <c r="AK136" s="40">
        <v>1.8</v>
      </c>
      <c r="AL136" s="40">
        <v>0.38</v>
      </c>
      <c r="AM136" s="40">
        <v>12.77</v>
      </c>
      <c r="AN136" s="40">
        <v>7.4999999999999997E-2</v>
      </c>
      <c r="AO136" s="40">
        <v>4.0650000000000004</v>
      </c>
      <c r="AP136" s="40">
        <v>0</v>
      </c>
      <c r="AQ136" s="40">
        <v>0.60000000000000009</v>
      </c>
      <c r="AR136" s="40" t="s">
        <v>538</v>
      </c>
      <c r="AS136" s="319">
        <v>0</v>
      </c>
      <c r="AT136" s="33">
        <f t="shared" ref="AT136:AT167" si="158">P+ER</f>
        <v>12.77</v>
      </c>
      <c r="AU136" s="33">
        <f t="shared" ref="AU136:AU167" si="159">P*0.375*MC</f>
        <v>2.8732500000000005</v>
      </c>
      <c r="AV136" s="38">
        <f>IF(C136="",0,(0.5*(_ML1*LPM)+0.5*(_ML1*HB)+0.66*(P*PR)+0.66*(_ML2*RDM)+0.66*(E*ER))*VLOOKUP(BATT,'Look Ups'!$N$3:$O$4,2,0))</f>
        <v>39.205031200000001</v>
      </c>
      <c r="AW136" s="317"/>
      <c r="AX136" s="318"/>
      <c r="AY136" s="43">
        <v>10.93</v>
      </c>
      <c r="AZ136" s="40">
        <v>3.16</v>
      </c>
      <c r="BA136" s="40">
        <v>3.48</v>
      </c>
      <c r="BB136" s="40">
        <v>0.1</v>
      </c>
      <c r="BC136" s="40">
        <v>9.86</v>
      </c>
      <c r="BD136" s="40">
        <v>9.7799999999999994</v>
      </c>
      <c r="BE136" s="40">
        <v>0.33</v>
      </c>
      <c r="BF136" s="40">
        <v>7.0000000000000007E-2</v>
      </c>
      <c r="BG136" s="40">
        <v>0.04</v>
      </c>
      <c r="BH136" s="319"/>
      <c r="BI136" s="38">
        <f t="shared" ref="BI136:BI167" si="160">(0.5*LL*LPG)+(0.5*_LG1*HG)+(0.66*LL*LLRG)+(0.66*FG*FRG)+(IF((HG&gt;0),(0.66*_LG2*LRG),(0.66*_LG1*LRG)))</f>
        <v>19.866367999999998</v>
      </c>
      <c r="BJ136" s="39"/>
      <c r="BK136" s="40"/>
      <c r="BL136" s="41"/>
      <c r="BM136" s="41"/>
      <c r="BN136" s="40"/>
      <c r="BO136" s="41"/>
      <c r="BP136" s="41"/>
      <c r="BQ136" s="42">
        <f t="shared" ref="BQ136:BQ167" si="161">(0.5*LLS*LPS)+(0.66*LLS*LLRS)+(0.66*LS*LRS)+(0.66*FS*FRS)</f>
        <v>0</v>
      </c>
      <c r="BR136" s="43">
        <v>0</v>
      </c>
      <c r="BS136" s="40"/>
      <c r="BT136" s="40"/>
      <c r="BU136" s="40"/>
      <c r="BV136" s="40"/>
      <c r="BW136" s="40"/>
      <c r="BX136" s="40"/>
      <c r="BY136" s="38">
        <f t="shared" ref="BY136:BY167" si="162">(0.5*LLD*LPD)+(0.66*LLD*LLRD)+(0.66*LCHD*LRD)+(0.66*FD*FRD)</f>
        <v>0</v>
      </c>
      <c r="BZ136" s="317">
        <v>5.99</v>
      </c>
      <c r="CA136" s="40">
        <v>8.8000000000000007</v>
      </c>
      <c r="CB136" s="40">
        <v>8.7799999999999994</v>
      </c>
      <c r="CC136" s="40">
        <v>5.85</v>
      </c>
      <c r="CD136" s="36">
        <f t="shared" ref="CD136:CD167" si="163">IF(SF&gt;0,SMG/SF*100,"")</f>
        <v>97.662771285475785</v>
      </c>
      <c r="CE136" s="40">
        <v>0</v>
      </c>
      <c r="CF136" s="42">
        <f t="shared" ref="CF136:CF167" si="164">SF*(_SL1+_SL2)/4+(SMG-SF/2)*(_SL1+_SL2)/3</f>
        <v>43.056349999999995</v>
      </c>
      <c r="CG136" s="43"/>
      <c r="CH136" s="40"/>
      <c r="CI136" s="40"/>
      <c r="CJ136" s="40"/>
      <c r="CK136" s="33" t="str">
        <f>IF(SCRF&gt;0,ScrMG/CG136*100,"")</f>
        <v/>
      </c>
      <c r="CL136" s="40">
        <v>0</v>
      </c>
      <c r="CM136" s="38">
        <f t="shared" ref="CM136:CM167" si="165">SCRF*(ScrL1+ScrL2)/4+(ScrMG-SCRF/2)*(ScrL1+ScrL2)/3</f>
        <v>0</v>
      </c>
      <c r="CN136" s="44">
        <f t="shared" ref="CN136:CN167" si="166">IF(ZVAL=1,1,IF(LPM&gt;0,0.64*((AM+MAM)/(E+(MC/2))^2)^0.3,0))</f>
        <v>1</v>
      </c>
      <c r="CO136" s="33">
        <f t="shared" ref="CO136:CO167" si="167">0.65*((AM+MAM)*EFM)+0.35*((AM+MAM)*ZVAL)</f>
        <v>42.078281199999999</v>
      </c>
      <c r="CP136" s="33">
        <f t="shared" ref="CP136:CP167" si="168">IF(ZVAL=1,1,IF(LPG&gt;0,0.72*(AG/(LPG^2))^0.3,0))</f>
        <v>1</v>
      </c>
      <c r="CQ136" s="33">
        <f t="shared" ref="CQ136:CQ167" si="169">AG*EFG</f>
        <v>19.866367999999998</v>
      </c>
      <c r="CR136" s="33">
        <f>IF(AV136&gt;0,'Look Ups'!$L$3,0)</f>
        <v>1</v>
      </c>
      <c r="CS136" s="33">
        <f t="shared" ref="CS136:CS167" si="170">IF(LPS&gt;0,0.72*(AS/(LPS^2))^0.3,0)</f>
        <v>0</v>
      </c>
      <c r="CT136" s="33"/>
      <c r="CU136" s="33"/>
      <c r="CV136" s="42"/>
      <c r="CW136" s="45" t="str">
        <f t="shared" ref="CW136:CW167" si="171">IF((SCRF=0),"-",IF(AND(MSASC&gt;AG,ScrMG&gt;=(0.5*SCRF),ScrMG&lt;(0.75*SCRF)),"valid","ERROR"))</f>
        <v>-</v>
      </c>
      <c r="CX136" s="36" t="str">
        <f t="shared" ref="CX136:CX167" si="172">IF((SF=0),"-",IF((SMG&lt;(0.75*SF)),"ERROR",IF(AND(MSASP&gt;MSASC,MSASP&gt;AG,MSASP&gt;=0.36*RSAM),"valid",0)))</f>
        <v>valid</v>
      </c>
      <c r="CY136" s="37" t="str">
        <f t="shared" ref="CY136:CY167" si="173">IF(C136="","",IF(CW136="valid",IF(CX136="valid","MGScrSp","MGScr"),IF(CX136="valid","MGSp","MG")))</f>
        <v>MGSp</v>
      </c>
      <c r="CZ136" s="44">
        <f t="shared" ref="CZ136:CZ167" si="174">RSAM+RSAG</f>
        <v>61.944649200000001</v>
      </c>
      <c r="DA136" s="33">
        <f t="shared" ref="DA136:DA167" si="175">IF(MSASP&gt;0,0.3*(ZVAL*MSASP-RSAG),0)</f>
        <v>6.9569945999999989</v>
      </c>
      <c r="DB136" s="33">
        <f t="shared" ref="DB136:DB167" si="176">IF(AND(MSASC&gt;0,(MSASC&gt;=0.36*RSAM)),(0.35*(ZVAL*MSASC-RSAG)),(0))</f>
        <v>0</v>
      </c>
      <c r="DC136" s="33">
        <f t="shared" ref="DC136:DC167" si="177">IF(MSASP&gt;0,0.295*(ZVAL*MSASP-RSAG),0)</f>
        <v>6.8410446899999986</v>
      </c>
      <c r="DD136" s="33">
        <f t="shared" ref="DD136:DD167" si="178">IF(MSASC&gt;0,0.055*(MSASC-RSAG),0)</f>
        <v>0</v>
      </c>
      <c r="DE136" s="42">
        <f t="shared" ref="DE136:DE167" si="179">RSAMG+(ZVAL*0.3*0.36*(RSAM-RSAG))</f>
        <v>64.3435358256</v>
      </c>
      <c r="DF136" s="46">
        <f t="shared" ref="DF136:DF167" si="180">IF(CY136="MG",DE136,IF(CY136="MGScr",RAMG+RASCO,IF(CY136="MGSp",RAMG+RASPO,IF(CY136="MGScrSp",RAMG+RASPSC+RASCR,0))))+RSAST+RSAD+RSAMZ+RSA2M</f>
        <v>68.901643800000002</v>
      </c>
    </row>
    <row r="137" spans="2:111" ht="16.5" customHeight="1" x14ac:dyDescent="0.25">
      <c r="B137" s="168"/>
      <c r="C137" s="168" t="s">
        <v>539</v>
      </c>
      <c r="D137" s="169" t="s">
        <v>371</v>
      </c>
      <c r="E137" s="170" t="s">
        <v>540</v>
      </c>
      <c r="F137" s="50">
        <f t="shared" si="151"/>
        <v>0.88254926534873235</v>
      </c>
      <c r="G137" s="50" t="str">
        <f t="shared" ca="1" si="152"/>
        <v>No</v>
      </c>
      <c r="H137" s="51" t="str">
        <f t="shared" si="153"/>
        <v>Main - Genoa - Spinnaker</v>
      </c>
      <c r="I137" s="171">
        <v>38081</v>
      </c>
      <c r="J137" s="171"/>
      <c r="K137" s="172" t="s">
        <v>305</v>
      </c>
      <c r="L137" s="172" t="s">
        <v>390</v>
      </c>
      <c r="M137" s="171"/>
      <c r="N137" s="173" t="s">
        <v>541</v>
      </c>
      <c r="O137" s="173"/>
      <c r="P137" s="174">
        <v>9</v>
      </c>
      <c r="Q137" s="175">
        <v>9.98</v>
      </c>
      <c r="R137" s="78"/>
      <c r="S137" s="59">
        <f t="shared" si="154"/>
        <v>0.24950000000000003</v>
      </c>
      <c r="T137" s="176">
        <v>0.28000000000000003</v>
      </c>
      <c r="U137" s="176">
        <v>0</v>
      </c>
      <c r="V137" s="61">
        <f t="shared" si="155"/>
        <v>9.7000000000000011</v>
      </c>
      <c r="W137" s="62">
        <f>IF(RL&gt;0,IF(RL&gt;'Look Ups'!R$7,'Look Ups'!R$8,('Look Ups'!R$3*RL^3+'Look Ups'!R$4*RL^2+'Look Ups'!R$5*RL+'Look Ups'!R$6)),0)</f>
        <v>0.298042209</v>
      </c>
      <c r="X137" s="177">
        <f>2409-47</f>
        <v>2362</v>
      </c>
      <c r="Y137" s="315"/>
      <c r="Z137" s="337"/>
      <c r="AA137" s="337"/>
      <c r="AB137" s="290">
        <f t="shared" si="156"/>
        <v>2362</v>
      </c>
      <c r="AC137" s="66">
        <f t="shared" si="157"/>
        <v>2362</v>
      </c>
      <c r="AD137" s="179" t="s">
        <v>129</v>
      </c>
      <c r="AE137" s="180" t="s">
        <v>130</v>
      </c>
      <c r="AF137" s="181" t="s">
        <v>300</v>
      </c>
      <c r="AG137" s="70">
        <f>IF(C137="",0,VLOOKUP(AD137,'Look Ups'!$B$3:$C$6,2,0)*VLOOKUP(AE137,'Look Ups'!$E$3:$F$5,2,0)*VLOOKUP(AF137,'Look Ups'!$H$3:$I$7,2,0))</f>
        <v>0.995</v>
      </c>
      <c r="AH137" s="80">
        <v>13.2</v>
      </c>
      <c r="AI137" s="77">
        <v>13.19</v>
      </c>
      <c r="AJ137" s="77">
        <v>3.88</v>
      </c>
      <c r="AK137" s="77">
        <v>0.1</v>
      </c>
      <c r="AL137" s="77">
        <v>1.57</v>
      </c>
      <c r="AM137" s="77">
        <v>12.63</v>
      </c>
      <c r="AN137" s="77">
        <v>0.15</v>
      </c>
      <c r="AO137" s="77">
        <v>4.09</v>
      </c>
      <c r="AP137" s="77">
        <v>0.11</v>
      </c>
      <c r="AQ137" s="77">
        <v>0.49</v>
      </c>
      <c r="AR137" s="77" t="s">
        <v>132</v>
      </c>
      <c r="AS137" s="87">
        <v>0</v>
      </c>
      <c r="AT137" s="59">
        <f t="shared" si="158"/>
        <v>12.74</v>
      </c>
      <c r="AU137" s="59">
        <f t="shared" si="159"/>
        <v>2.3207624999999998</v>
      </c>
      <c r="AV137" s="72">
        <f>IF(C137="",0,(0.5*(_ML1*LPM)+0.5*(_ML1*HB)+0.66*(P*PR)+0.66*(_ML2*RDM)+0.66*(E*ER))*VLOOKUP(BATT,'Look Ups'!$N$3:$O$4,2,0))</f>
        <v>41.482782</v>
      </c>
      <c r="AW137" s="182"/>
      <c r="AX137" s="183"/>
      <c r="AY137" s="80">
        <v>12</v>
      </c>
      <c r="AZ137" s="77">
        <v>4.18</v>
      </c>
      <c r="BA137" s="77">
        <v>4.55</v>
      </c>
      <c r="BB137" s="77">
        <v>0.22</v>
      </c>
      <c r="BC137" s="77">
        <v>11.25</v>
      </c>
      <c r="BD137" s="77"/>
      <c r="BE137" s="77"/>
      <c r="BF137" s="77">
        <v>-0.15</v>
      </c>
      <c r="BG137" s="77">
        <v>-0.09</v>
      </c>
      <c r="BH137" s="87"/>
      <c r="BI137" s="72">
        <f t="shared" si="160"/>
        <v>23.914109999999997</v>
      </c>
      <c r="BJ137" s="76"/>
      <c r="BK137" s="77"/>
      <c r="BL137" s="78"/>
      <c r="BM137" s="78"/>
      <c r="BN137" s="77"/>
      <c r="BO137" s="78"/>
      <c r="BP137" s="78"/>
      <c r="BQ137" s="79">
        <f t="shared" si="161"/>
        <v>0</v>
      </c>
      <c r="BR137" s="80"/>
      <c r="BS137" s="77"/>
      <c r="BT137" s="77"/>
      <c r="BU137" s="77"/>
      <c r="BV137" s="77"/>
      <c r="BW137" s="77"/>
      <c r="BX137" s="77"/>
      <c r="BY137" s="72">
        <f t="shared" si="162"/>
        <v>0</v>
      </c>
      <c r="BZ137" s="182">
        <v>8.1</v>
      </c>
      <c r="CA137" s="77">
        <v>15.5</v>
      </c>
      <c r="CB137" s="77">
        <v>13.2</v>
      </c>
      <c r="CC137" s="77">
        <v>8.23</v>
      </c>
      <c r="CD137" s="65">
        <f t="shared" si="163"/>
        <v>101.60493827160495</v>
      </c>
      <c r="CE137" s="77">
        <v>0</v>
      </c>
      <c r="CF137" s="79">
        <f t="shared" si="164"/>
        <v>98.106166666666667</v>
      </c>
      <c r="CG137" s="80"/>
      <c r="CH137" s="77"/>
      <c r="CI137" s="77"/>
      <c r="CJ137" s="77"/>
      <c r="CK137" s="59" t="str">
        <f t="shared" ref="CK137:CK168" si="181">IF(CG137&gt;0,CJ137/CG137*100,"")</f>
        <v/>
      </c>
      <c r="CL137" s="77">
        <v>0</v>
      </c>
      <c r="CM137" s="72">
        <f t="shared" si="165"/>
        <v>0</v>
      </c>
      <c r="CN137" s="81">
        <f t="shared" si="166"/>
        <v>1</v>
      </c>
      <c r="CO137" s="59">
        <f t="shared" si="167"/>
        <v>43.803544500000001</v>
      </c>
      <c r="CP137" s="59">
        <f t="shared" si="168"/>
        <v>1</v>
      </c>
      <c r="CQ137" s="59">
        <f t="shared" si="169"/>
        <v>23.914109999999997</v>
      </c>
      <c r="CR137" s="59">
        <f>IF(AV137&gt;0,'Look Ups'!$L$3,0)</f>
        <v>1</v>
      </c>
      <c r="CS137" s="59">
        <f t="shared" si="170"/>
        <v>0</v>
      </c>
      <c r="CT137" s="59">
        <f t="shared" ref="CT137:CT168" si="182">EFS*AS</f>
        <v>0</v>
      </c>
      <c r="CU137" s="59">
        <f t="shared" ref="CU137:CU168" si="183">IF(LPD&gt;0,0.72*(AD/(LPD^2))^0.3,0)</f>
        <v>0</v>
      </c>
      <c r="CV137" s="79">
        <f t="shared" ref="CV137:CV168" si="184">IF((AD-AG)&gt;0,0.3*(AD-AG)*EFD,0)</f>
        <v>0</v>
      </c>
      <c r="CW137" s="82" t="str">
        <f t="shared" si="171"/>
        <v>-</v>
      </c>
      <c r="CX137" s="65" t="str">
        <f t="shared" si="172"/>
        <v>valid</v>
      </c>
      <c r="CY137" s="66" t="str">
        <f t="shared" si="173"/>
        <v>MGSp</v>
      </c>
      <c r="CZ137" s="81">
        <f t="shared" si="174"/>
        <v>67.717654499999995</v>
      </c>
      <c r="DA137" s="59">
        <f t="shared" si="175"/>
        <v>22.257617</v>
      </c>
      <c r="DB137" s="59">
        <f t="shared" si="176"/>
        <v>0</v>
      </c>
      <c r="DC137" s="59">
        <f t="shared" si="177"/>
        <v>21.886656716666668</v>
      </c>
      <c r="DD137" s="59">
        <f t="shared" si="178"/>
        <v>0</v>
      </c>
      <c r="DE137" s="79">
        <f t="shared" si="179"/>
        <v>69.865713425999999</v>
      </c>
      <c r="DF137" s="83">
        <f t="shared" si="180"/>
        <v>89.975271499999991</v>
      </c>
    </row>
    <row r="138" spans="2:111" ht="16.5" customHeight="1" x14ac:dyDescent="0.25">
      <c r="B138" s="168"/>
      <c r="C138" s="47" t="s">
        <v>123</v>
      </c>
      <c r="D138" s="48" t="s">
        <v>124</v>
      </c>
      <c r="E138" s="49" t="s">
        <v>858</v>
      </c>
      <c r="F138" s="50">
        <f t="shared" si="151"/>
        <v>0.82064788525067356</v>
      </c>
      <c r="G138" s="50" t="str">
        <f t="shared" ca="1" si="152"/>
        <v>No</v>
      </c>
      <c r="H138" s="51" t="str">
        <f t="shared" si="153"/>
        <v>Main - Genoa - Screacher - Spinnaker</v>
      </c>
      <c r="I138" s="52">
        <v>38731</v>
      </c>
      <c r="J138" s="52">
        <v>40504</v>
      </c>
      <c r="K138" s="53" t="s">
        <v>125</v>
      </c>
      <c r="L138" s="53" t="s">
        <v>126</v>
      </c>
      <c r="M138" s="54"/>
      <c r="N138" s="55" t="s">
        <v>127</v>
      </c>
      <c r="O138" s="55" t="s">
        <v>128</v>
      </c>
      <c r="P138" s="86"/>
      <c r="Q138" s="73">
        <v>7.49</v>
      </c>
      <c r="R138" s="58"/>
      <c r="S138" s="59">
        <f t="shared" si="154"/>
        <v>0.18725000000000003</v>
      </c>
      <c r="T138" s="60">
        <v>0.23</v>
      </c>
      <c r="U138" s="60">
        <v>0</v>
      </c>
      <c r="V138" s="61">
        <f t="shared" si="155"/>
        <v>7.26</v>
      </c>
      <c r="W138" s="62">
        <f>IF(RL&gt;0,IF(RL&gt;'Look Ups'!R$7,'Look Ups'!R$8,('Look Ups'!R$3*RL^3+'Look Ups'!R$4*RL^2+'Look Ups'!R$5*RL+'Look Ups'!R$6)),0)</f>
        <v>0.290907046808</v>
      </c>
      <c r="X138" s="256">
        <v>1060</v>
      </c>
      <c r="Y138" s="338"/>
      <c r="Z138" s="338"/>
      <c r="AA138" s="338"/>
      <c r="AB138" s="290">
        <f t="shared" si="156"/>
        <v>1060</v>
      </c>
      <c r="AC138" s="66">
        <f t="shared" si="157"/>
        <v>1060</v>
      </c>
      <c r="AD138" s="67" t="s">
        <v>129</v>
      </c>
      <c r="AE138" s="68" t="s">
        <v>130</v>
      </c>
      <c r="AF138" s="69" t="s">
        <v>131</v>
      </c>
      <c r="AG138" s="70">
        <f>IF(C138="",0,VLOOKUP(AD138,'Look Ups'!$B$3:$C$6,2,0)*VLOOKUP(AE138,'Look Ups'!$E$3:$F$5,2,0)*VLOOKUP(AF138,'Look Ups'!$H$3:$I$7,2,0))</f>
        <v>1</v>
      </c>
      <c r="AH138" s="71">
        <v>9.31</v>
      </c>
      <c r="AI138" s="60">
        <v>9.06</v>
      </c>
      <c r="AJ138" s="60">
        <v>3.07</v>
      </c>
      <c r="AK138" s="60">
        <v>0.73499999999999999</v>
      </c>
      <c r="AL138" s="60">
        <v>0.64</v>
      </c>
      <c r="AM138" s="60">
        <v>8.8800000000000008</v>
      </c>
      <c r="AN138" s="60">
        <v>0.16</v>
      </c>
      <c r="AO138" s="60">
        <v>3.3</v>
      </c>
      <c r="AP138" s="60">
        <v>2.5000000000000001E-2</v>
      </c>
      <c r="AQ138" s="60">
        <v>0.41</v>
      </c>
      <c r="AR138" s="60" t="s">
        <v>132</v>
      </c>
      <c r="AS138" s="75"/>
      <c r="AT138" s="59">
        <f t="shared" si="158"/>
        <v>8.9050000000000011</v>
      </c>
      <c r="AU138" s="59">
        <f t="shared" si="159"/>
        <v>1.3653</v>
      </c>
      <c r="AV138" s="72">
        <f>IF(C138="",0,(0.5*(_ML1*LPM)+0.5*(_ML1*HB)+0.66*(P*PR)+0.66*(_ML2*RDM)+0.66*(E*ER))*VLOOKUP(BATT,'Look Ups'!$N$3:$O$4,2,0))</f>
        <v>22.531397000000002</v>
      </c>
      <c r="AW138" s="73"/>
      <c r="AX138" s="74"/>
      <c r="AY138" s="71">
        <v>8.33</v>
      </c>
      <c r="AZ138" s="60">
        <v>2.82</v>
      </c>
      <c r="BA138" s="60">
        <v>3.2</v>
      </c>
      <c r="BB138" s="60">
        <v>0.08</v>
      </c>
      <c r="BC138" s="60">
        <v>7.47</v>
      </c>
      <c r="BD138" s="60"/>
      <c r="BE138" s="60"/>
      <c r="BF138" s="60">
        <v>0</v>
      </c>
      <c r="BG138" s="60">
        <v>0.125</v>
      </c>
      <c r="BH138" s="75"/>
      <c r="BI138" s="72">
        <f t="shared" si="160"/>
        <v>12.601485</v>
      </c>
      <c r="BJ138" s="76"/>
      <c r="BK138" s="77"/>
      <c r="BL138" s="78"/>
      <c r="BM138" s="78"/>
      <c r="BN138" s="77"/>
      <c r="BO138" s="78"/>
      <c r="BP138" s="78"/>
      <c r="BQ138" s="79">
        <f t="shared" si="161"/>
        <v>0</v>
      </c>
      <c r="BR138" s="80"/>
      <c r="BS138" s="77"/>
      <c r="BT138" s="77"/>
      <c r="BU138" s="77"/>
      <c r="BV138" s="77"/>
      <c r="BW138" s="77"/>
      <c r="BX138" s="77"/>
      <c r="BY138" s="72">
        <f t="shared" si="162"/>
        <v>0</v>
      </c>
      <c r="BZ138" s="73">
        <v>6.71</v>
      </c>
      <c r="CA138" s="60">
        <v>11.36</v>
      </c>
      <c r="CB138" s="60">
        <v>10.37</v>
      </c>
      <c r="CC138" s="60">
        <v>5.98</v>
      </c>
      <c r="CD138" s="65">
        <f t="shared" si="163"/>
        <v>89.120715350223563</v>
      </c>
      <c r="CE138" s="60"/>
      <c r="CF138" s="79">
        <f t="shared" si="164"/>
        <v>55.465824999999995</v>
      </c>
      <c r="CG138" s="71">
        <v>5.25</v>
      </c>
      <c r="CH138" s="60">
        <v>9.52</v>
      </c>
      <c r="CI138" s="60">
        <v>7.39</v>
      </c>
      <c r="CJ138" s="60">
        <v>2.63</v>
      </c>
      <c r="CK138" s="59">
        <f t="shared" si="181"/>
        <v>50.095238095238095</v>
      </c>
      <c r="CL138" s="60"/>
      <c r="CM138" s="72">
        <f t="shared" si="165"/>
        <v>22.222558333333332</v>
      </c>
      <c r="CN138" s="81">
        <f t="shared" si="166"/>
        <v>1</v>
      </c>
      <c r="CO138" s="59">
        <f t="shared" si="167"/>
        <v>23.896697000000003</v>
      </c>
      <c r="CP138" s="59">
        <f t="shared" si="168"/>
        <v>1</v>
      </c>
      <c r="CQ138" s="59">
        <f t="shared" si="169"/>
        <v>12.601485</v>
      </c>
      <c r="CR138" s="59">
        <f>IF(AV138&gt;0,'Look Ups'!$L$3,0)</f>
        <v>1</v>
      </c>
      <c r="CS138" s="59">
        <f t="shared" si="170"/>
        <v>0</v>
      </c>
      <c r="CT138" s="59">
        <f t="shared" si="182"/>
        <v>0</v>
      </c>
      <c r="CU138" s="59">
        <f t="shared" si="183"/>
        <v>0</v>
      </c>
      <c r="CV138" s="79">
        <f t="shared" si="184"/>
        <v>0</v>
      </c>
      <c r="CW138" s="82" t="str">
        <f t="shared" si="171"/>
        <v>valid</v>
      </c>
      <c r="CX138" s="65" t="str">
        <f t="shared" si="172"/>
        <v>valid</v>
      </c>
      <c r="CY138" s="66" t="str">
        <f t="shared" si="173"/>
        <v>MGScrSp</v>
      </c>
      <c r="CZ138" s="81">
        <f t="shared" si="174"/>
        <v>36.498182</v>
      </c>
      <c r="DA138" s="59">
        <f t="shared" si="175"/>
        <v>12.859302</v>
      </c>
      <c r="DB138" s="59">
        <f t="shared" si="176"/>
        <v>3.3673756666666659</v>
      </c>
      <c r="DC138" s="59">
        <f t="shared" si="177"/>
        <v>12.644980299999999</v>
      </c>
      <c r="DD138" s="59">
        <f t="shared" si="178"/>
        <v>0.52915903333333325</v>
      </c>
      <c r="DE138" s="79">
        <f t="shared" si="179"/>
        <v>37.718064896000001</v>
      </c>
      <c r="DF138" s="83">
        <f t="shared" si="180"/>
        <v>49.672321333333336</v>
      </c>
    </row>
    <row r="139" spans="2:111" ht="16.5" customHeight="1" x14ac:dyDescent="0.25">
      <c r="B139" s="47"/>
      <c r="C139" s="168" t="s">
        <v>542</v>
      </c>
      <c r="D139" s="169" t="s">
        <v>543</v>
      </c>
      <c r="E139" s="170" t="s">
        <v>544</v>
      </c>
      <c r="F139" s="50">
        <f t="shared" si="151"/>
        <v>0.68210762700046534</v>
      </c>
      <c r="G139" s="50" t="str">
        <f t="shared" ca="1" si="152"/>
        <v>No</v>
      </c>
      <c r="H139" s="51" t="str">
        <f t="shared" si="153"/>
        <v>Main - Genoa - Spinnaker</v>
      </c>
      <c r="I139" s="171">
        <v>35509</v>
      </c>
      <c r="J139" s="171"/>
      <c r="K139" s="172" t="s">
        <v>379</v>
      </c>
      <c r="L139" s="172" t="s">
        <v>390</v>
      </c>
      <c r="M139" s="171"/>
      <c r="N139" s="173" t="s">
        <v>149</v>
      </c>
      <c r="O139" s="173"/>
      <c r="P139" s="174">
        <v>7.9</v>
      </c>
      <c r="Q139" s="175">
        <v>12.4</v>
      </c>
      <c r="R139" s="78"/>
      <c r="S139" s="59">
        <f t="shared" si="154"/>
        <v>0.31000000000000005</v>
      </c>
      <c r="T139" s="176">
        <v>0.7</v>
      </c>
      <c r="U139" s="176">
        <v>0</v>
      </c>
      <c r="V139" s="61">
        <f t="shared" si="155"/>
        <v>11.700000000000001</v>
      </c>
      <c r="W139" s="62">
        <f>IF(RL&gt;0,IF(RL&gt;'Look Ups'!R$7,'Look Ups'!R$8,('Look Ups'!R$3*RL^3+'Look Ups'!R$4*RL^2+'Look Ups'!R$5*RL+'Look Ups'!R$6)),0)</f>
        <v>0.299857229</v>
      </c>
      <c r="X139" s="304">
        <v>6296</v>
      </c>
      <c r="Y139" s="337">
        <v>0</v>
      </c>
      <c r="Z139" s="337"/>
      <c r="AA139" s="337"/>
      <c r="AB139" s="290">
        <f t="shared" si="156"/>
        <v>6296</v>
      </c>
      <c r="AC139" s="66">
        <f t="shared" si="157"/>
        <v>6296</v>
      </c>
      <c r="AD139" s="179" t="s">
        <v>545</v>
      </c>
      <c r="AE139" s="180" t="s">
        <v>130</v>
      </c>
      <c r="AF139" s="181" t="s">
        <v>131</v>
      </c>
      <c r="AG139" s="70">
        <f>IF(C139="",0,VLOOKUP(AD139,'Look Ups'!$B$3:$C$6,2,0)*VLOOKUP(AE139,'Look Ups'!$E$3:$F$5,2,0)*VLOOKUP(AF139,'Look Ups'!$H$3:$I$7,2,0))</f>
        <v>0.98</v>
      </c>
      <c r="AH139" s="80">
        <v>12.7</v>
      </c>
      <c r="AI139" s="77">
        <v>0</v>
      </c>
      <c r="AJ139" s="77">
        <v>4.49</v>
      </c>
      <c r="AK139" s="77">
        <v>0</v>
      </c>
      <c r="AL139" s="77">
        <v>0.53</v>
      </c>
      <c r="AM139" s="77">
        <v>11.9</v>
      </c>
      <c r="AN139" s="77">
        <v>0</v>
      </c>
      <c r="AO139" s="77">
        <v>4.6100000000000003</v>
      </c>
      <c r="AP139" s="77">
        <v>0</v>
      </c>
      <c r="AQ139" s="77">
        <v>0</v>
      </c>
      <c r="AR139" s="77" t="s">
        <v>132</v>
      </c>
      <c r="AS139" s="87">
        <v>0</v>
      </c>
      <c r="AT139" s="59">
        <f t="shared" si="158"/>
        <v>11.9</v>
      </c>
      <c r="AU139" s="59">
        <f t="shared" si="159"/>
        <v>0</v>
      </c>
      <c r="AV139" s="72">
        <f>IF(C139="",0,(0.5*(_ML1*LPM)+0.5*(_ML1*HB)+0.66*(P*PR)+0.66*(_ML2*RDM)+0.66*(E*ER))*VLOOKUP(BATT,'Look Ups'!$N$3:$O$4,2,0))</f>
        <v>28.511499999999998</v>
      </c>
      <c r="AW139" s="182"/>
      <c r="AX139" s="183"/>
      <c r="AY139" s="80">
        <v>14.2</v>
      </c>
      <c r="AZ139" s="77">
        <v>6.48</v>
      </c>
      <c r="BA139" s="77">
        <v>7.35</v>
      </c>
      <c r="BB139" s="77">
        <v>0</v>
      </c>
      <c r="BC139" s="77">
        <v>12.73</v>
      </c>
      <c r="BD139" s="77"/>
      <c r="BE139" s="77"/>
      <c r="BF139" s="77">
        <v>-0.34</v>
      </c>
      <c r="BG139" s="77">
        <v>0</v>
      </c>
      <c r="BH139" s="87"/>
      <c r="BI139" s="72">
        <f t="shared" si="160"/>
        <v>43.151388000000004</v>
      </c>
      <c r="BJ139" s="76"/>
      <c r="BK139" s="77"/>
      <c r="BL139" s="78"/>
      <c r="BM139" s="78"/>
      <c r="BN139" s="77"/>
      <c r="BO139" s="78"/>
      <c r="BP139" s="78"/>
      <c r="BQ139" s="79">
        <f t="shared" si="161"/>
        <v>0</v>
      </c>
      <c r="BR139" s="80"/>
      <c r="BS139" s="77"/>
      <c r="BT139" s="77"/>
      <c r="BU139" s="77"/>
      <c r="BV139" s="77"/>
      <c r="BW139" s="77"/>
      <c r="BX139" s="77"/>
      <c r="BY139" s="72">
        <f t="shared" si="162"/>
        <v>0</v>
      </c>
      <c r="BZ139" s="182">
        <v>8.1300000000000008</v>
      </c>
      <c r="CA139" s="77">
        <v>16.75</v>
      </c>
      <c r="CB139" s="77">
        <v>16.7</v>
      </c>
      <c r="CC139" s="77">
        <v>8.4</v>
      </c>
      <c r="CD139" s="65">
        <f t="shared" si="163"/>
        <v>103.3210332103321</v>
      </c>
      <c r="CE139" s="77">
        <v>0</v>
      </c>
      <c r="CF139" s="79">
        <f t="shared" si="164"/>
        <v>116.32237500000001</v>
      </c>
      <c r="CG139" s="80"/>
      <c r="CH139" s="77"/>
      <c r="CI139" s="77"/>
      <c r="CJ139" s="77"/>
      <c r="CK139" s="59" t="str">
        <f t="shared" si="181"/>
        <v/>
      </c>
      <c r="CL139" s="77"/>
      <c r="CM139" s="72">
        <f t="shared" si="165"/>
        <v>0</v>
      </c>
      <c r="CN139" s="81">
        <f t="shared" si="166"/>
        <v>1</v>
      </c>
      <c r="CO139" s="59">
        <f t="shared" si="167"/>
        <v>28.511499999999998</v>
      </c>
      <c r="CP139" s="59">
        <f t="shared" si="168"/>
        <v>1</v>
      </c>
      <c r="CQ139" s="59">
        <f t="shared" si="169"/>
        <v>43.151388000000004</v>
      </c>
      <c r="CR139" s="59">
        <f>IF(AV139&gt;0,'Look Ups'!$L$3,0)</f>
        <v>1</v>
      </c>
      <c r="CS139" s="59">
        <f t="shared" si="170"/>
        <v>0</v>
      </c>
      <c r="CT139" s="59">
        <f t="shared" si="182"/>
        <v>0</v>
      </c>
      <c r="CU139" s="59">
        <f t="shared" si="183"/>
        <v>0</v>
      </c>
      <c r="CV139" s="79">
        <f t="shared" si="184"/>
        <v>0</v>
      </c>
      <c r="CW139" s="82" t="str">
        <f t="shared" si="171"/>
        <v>-</v>
      </c>
      <c r="CX139" s="65" t="str">
        <f t="shared" si="172"/>
        <v>valid</v>
      </c>
      <c r="CY139" s="66" t="str">
        <f t="shared" si="173"/>
        <v>MGSp</v>
      </c>
      <c r="CZ139" s="81">
        <f t="shared" si="174"/>
        <v>71.662888000000009</v>
      </c>
      <c r="DA139" s="59">
        <f t="shared" si="175"/>
        <v>21.951296099999997</v>
      </c>
      <c r="DB139" s="59">
        <f t="shared" si="176"/>
        <v>0</v>
      </c>
      <c r="DC139" s="59">
        <f t="shared" si="177"/>
        <v>21.585441164999999</v>
      </c>
      <c r="DD139" s="59">
        <f t="shared" si="178"/>
        <v>0</v>
      </c>
      <c r="DE139" s="79">
        <f t="shared" si="179"/>
        <v>70.081780096000003</v>
      </c>
      <c r="DF139" s="83">
        <f t="shared" si="180"/>
        <v>93.614184100000003</v>
      </c>
    </row>
    <row r="140" spans="2:111" ht="16.5" customHeight="1" x14ac:dyDescent="0.25">
      <c r="B140" s="168"/>
      <c r="C140" s="47" t="s">
        <v>139</v>
      </c>
      <c r="D140" s="48" t="s">
        <v>140</v>
      </c>
      <c r="E140" s="49" t="s">
        <v>141</v>
      </c>
      <c r="F140" s="50">
        <f t="shared" si="151"/>
        <v>0.85310039631426104</v>
      </c>
      <c r="G140" s="50" t="str">
        <f t="shared" ca="1" si="152"/>
        <v>No</v>
      </c>
      <c r="H140" s="51" t="str">
        <f t="shared" si="153"/>
        <v>Main - Genoa - Screacher - Spinnaker</v>
      </c>
      <c r="I140" s="52">
        <v>40067</v>
      </c>
      <c r="J140" s="52">
        <v>40798</v>
      </c>
      <c r="K140" s="53" t="s">
        <v>142</v>
      </c>
      <c r="L140" s="53" t="s">
        <v>143</v>
      </c>
      <c r="M140" s="54"/>
      <c r="N140" s="55" t="s">
        <v>127</v>
      </c>
      <c r="O140" s="55"/>
      <c r="P140" s="56"/>
      <c r="Q140" s="57">
        <v>9.1999999999999993</v>
      </c>
      <c r="R140" s="58"/>
      <c r="S140" s="59">
        <f t="shared" si="154"/>
        <v>0.22999999999999998</v>
      </c>
      <c r="T140" s="60">
        <v>0.125</v>
      </c>
      <c r="U140" s="60">
        <v>0</v>
      </c>
      <c r="V140" s="61">
        <f t="shared" si="155"/>
        <v>9.0749999999999993</v>
      </c>
      <c r="W140" s="62">
        <f>IF(RL&gt;0,IF(RL&gt;'Look Ups'!R$7,'Look Ups'!R$8,('Look Ups'!R$3*RL^3+'Look Ups'!R$4*RL^2+'Look Ups'!R$5*RL+'Look Ups'!R$6)),0)</f>
        <v>0.29682807579687503</v>
      </c>
      <c r="X140" s="256">
        <f>2270</f>
        <v>2270</v>
      </c>
      <c r="Y140" s="338"/>
      <c r="Z140" s="338"/>
      <c r="AA140" s="338"/>
      <c r="AB140" s="290">
        <f t="shared" si="156"/>
        <v>2270</v>
      </c>
      <c r="AC140" s="66">
        <f t="shared" si="157"/>
        <v>2270</v>
      </c>
      <c r="AD140" s="67" t="s">
        <v>129</v>
      </c>
      <c r="AE140" s="68" t="s">
        <v>130</v>
      </c>
      <c r="AF140" s="69" t="s">
        <v>131</v>
      </c>
      <c r="AG140" s="70">
        <f>IF(C140="",0,VLOOKUP(AD140,'Look Ups'!$B$3:$C$6,2,0)*VLOOKUP(AE140,'Look Ups'!$E$3:$F$5,2,0)*VLOOKUP(AF140,'Look Ups'!$H$3:$I$7,2,0))</f>
        <v>1</v>
      </c>
      <c r="AH140" s="71">
        <v>12.23</v>
      </c>
      <c r="AI140" s="60">
        <v>11.9</v>
      </c>
      <c r="AJ140" s="60">
        <v>4.03</v>
      </c>
      <c r="AK140" s="60">
        <v>1.54</v>
      </c>
      <c r="AL140" s="60">
        <v>0.48</v>
      </c>
      <c r="AM140" s="60">
        <v>11.96</v>
      </c>
      <c r="AN140" s="60">
        <v>0.19</v>
      </c>
      <c r="AO140" s="60">
        <v>4.16</v>
      </c>
      <c r="AP140" s="60">
        <v>0.03</v>
      </c>
      <c r="AQ140" s="60"/>
      <c r="AR140" s="60" t="s">
        <v>132</v>
      </c>
      <c r="AS140" s="75" t="s">
        <v>144</v>
      </c>
      <c r="AT140" s="59">
        <f t="shared" si="158"/>
        <v>11.99</v>
      </c>
      <c r="AU140" s="59">
        <f t="shared" si="159"/>
        <v>0</v>
      </c>
      <c r="AV140" s="72">
        <f>IF(C140="",0,(0.5*(_ML1*LPM)+0.5*(_ML1*HB)+0.66*(P*PR)+0.66*(_ML2*RDM)+0.66*(E*ER))*VLOOKUP(BATT,'Look Ups'!$N$3:$O$4,2,0))</f>
        <v>39.412622000000006</v>
      </c>
      <c r="AW140" s="73"/>
      <c r="AX140" s="74"/>
      <c r="AY140" s="71">
        <v>10.5</v>
      </c>
      <c r="AZ140" s="60">
        <v>4.38</v>
      </c>
      <c r="BA140" s="60">
        <v>4.84</v>
      </c>
      <c r="BB140" s="60">
        <v>0.1</v>
      </c>
      <c r="BC140" s="60">
        <v>9.4700000000000006</v>
      </c>
      <c r="BD140" s="60"/>
      <c r="BE140" s="60"/>
      <c r="BF140" s="60">
        <v>-0.21</v>
      </c>
      <c r="BG140" s="60">
        <v>0.03</v>
      </c>
      <c r="BH140" s="75">
        <v>0</v>
      </c>
      <c r="BI140" s="72">
        <f t="shared" si="160"/>
        <v>22.209797999999999</v>
      </c>
      <c r="BJ140" s="76"/>
      <c r="BK140" s="77"/>
      <c r="BL140" s="78"/>
      <c r="BM140" s="78"/>
      <c r="BN140" s="77"/>
      <c r="BO140" s="78"/>
      <c r="BP140" s="78"/>
      <c r="BQ140" s="79">
        <f t="shared" si="161"/>
        <v>0</v>
      </c>
      <c r="BR140" s="80"/>
      <c r="BS140" s="77"/>
      <c r="BT140" s="77"/>
      <c r="BU140" s="77"/>
      <c r="BV140" s="77"/>
      <c r="BW140" s="77"/>
      <c r="BX140" s="77"/>
      <c r="BY140" s="72">
        <f t="shared" si="162"/>
        <v>0</v>
      </c>
      <c r="BZ140" s="73">
        <v>9.02</v>
      </c>
      <c r="CA140" s="60">
        <v>13.81</v>
      </c>
      <c r="CB140" s="60">
        <v>11.68</v>
      </c>
      <c r="CC140" s="60">
        <v>8.8000000000000007</v>
      </c>
      <c r="CD140" s="65">
        <f t="shared" si="163"/>
        <v>97.560975609756113</v>
      </c>
      <c r="CE140" s="60">
        <v>0</v>
      </c>
      <c r="CF140" s="79">
        <f t="shared" si="164"/>
        <v>93.930650000000014</v>
      </c>
      <c r="CG140" s="71">
        <v>6.47</v>
      </c>
      <c r="CH140" s="60">
        <v>12.35</v>
      </c>
      <c r="CI140" s="60">
        <v>10.44</v>
      </c>
      <c r="CJ140" s="60">
        <v>3.3</v>
      </c>
      <c r="CK140" s="59">
        <f t="shared" si="181"/>
        <v>51.004636785162283</v>
      </c>
      <c r="CL140" s="60">
        <v>0</v>
      </c>
      <c r="CM140" s="72">
        <f t="shared" si="165"/>
        <v>37.356608333333327</v>
      </c>
      <c r="CN140" s="81">
        <f t="shared" si="166"/>
        <v>1</v>
      </c>
      <c r="CO140" s="59">
        <f t="shared" si="167"/>
        <v>39.412622000000006</v>
      </c>
      <c r="CP140" s="59">
        <f t="shared" si="168"/>
        <v>1</v>
      </c>
      <c r="CQ140" s="59">
        <f t="shared" si="169"/>
        <v>22.209797999999999</v>
      </c>
      <c r="CR140" s="59">
        <f>IF(AV140&gt;0,'Look Ups'!$L$3,0)</f>
        <v>1</v>
      </c>
      <c r="CS140" s="59">
        <f t="shared" si="170"/>
        <v>0</v>
      </c>
      <c r="CT140" s="59">
        <f t="shared" si="182"/>
        <v>0</v>
      </c>
      <c r="CU140" s="59">
        <f t="shared" si="183"/>
        <v>0</v>
      </c>
      <c r="CV140" s="79">
        <f t="shared" si="184"/>
        <v>0</v>
      </c>
      <c r="CW140" s="82" t="str">
        <f t="shared" si="171"/>
        <v>valid</v>
      </c>
      <c r="CX140" s="65" t="str">
        <f t="shared" si="172"/>
        <v>valid</v>
      </c>
      <c r="CY140" s="66" t="str">
        <f t="shared" si="173"/>
        <v>MGScrSp</v>
      </c>
      <c r="CZ140" s="81">
        <f t="shared" si="174"/>
        <v>61.622420000000005</v>
      </c>
      <c r="DA140" s="59">
        <f t="shared" si="175"/>
        <v>21.516255600000001</v>
      </c>
      <c r="DB140" s="59">
        <f t="shared" si="176"/>
        <v>5.3013836166666639</v>
      </c>
      <c r="DC140" s="59">
        <f t="shared" si="177"/>
        <v>21.157651340000001</v>
      </c>
      <c r="DD140" s="59">
        <f t="shared" si="178"/>
        <v>0.83307456833333304</v>
      </c>
      <c r="DE140" s="79">
        <f t="shared" si="179"/>
        <v>63.480324992000007</v>
      </c>
      <c r="DF140" s="83">
        <f t="shared" si="180"/>
        <v>83.613145908333337</v>
      </c>
    </row>
    <row r="141" spans="2:111" ht="16.5" customHeight="1" x14ac:dyDescent="0.25">
      <c r="B141" s="47"/>
      <c r="C141" s="168" t="s">
        <v>546</v>
      </c>
      <c r="D141" s="169" t="s">
        <v>547</v>
      </c>
      <c r="E141" s="170" t="s">
        <v>548</v>
      </c>
      <c r="F141" s="50">
        <f t="shared" si="151"/>
        <v>0.84650362108686006</v>
      </c>
      <c r="G141" s="50" t="str">
        <f t="shared" ca="1" si="152"/>
        <v>No</v>
      </c>
      <c r="H141" s="51" t="str">
        <f t="shared" si="153"/>
        <v>Main - Genoa - Screacher - Spinnaker</v>
      </c>
      <c r="I141" s="171">
        <v>36699</v>
      </c>
      <c r="J141" s="171"/>
      <c r="K141" s="172" t="s">
        <v>299</v>
      </c>
      <c r="L141" s="172" t="s">
        <v>390</v>
      </c>
      <c r="M141" s="171"/>
      <c r="N141" s="173" t="s">
        <v>537</v>
      </c>
      <c r="O141" s="173"/>
      <c r="P141" s="174">
        <v>6.9</v>
      </c>
      <c r="Q141" s="175">
        <v>9.4600000000000009</v>
      </c>
      <c r="R141" s="78"/>
      <c r="S141" s="59">
        <f t="shared" si="154"/>
        <v>0.23650000000000004</v>
      </c>
      <c r="T141" s="176">
        <v>0.05</v>
      </c>
      <c r="U141" s="176">
        <v>0</v>
      </c>
      <c r="V141" s="61">
        <f t="shared" si="155"/>
        <v>9.41</v>
      </c>
      <c r="W141" s="62">
        <f>IF(RL&gt;0,IF(RL&gt;'Look Ups'!R$7,'Look Ups'!R$8,('Look Ups'!R$3*RL^3+'Look Ups'!R$4*RL^2+'Look Ups'!R$5*RL+'Look Ups'!R$6)),0)</f>
        <v>0.29752450149300003</v>
      </c>
      <c r="X141" s="304">
        <v>1932</v>
      </c>
      <c r="Y141" s="337"/>
      <c r="Z141" s="337"/>
      <c r="AA141" s="337"/>
      <c r="AB141" s="290">
        <f t="shared" si="156"/>
        <v>1932</v>
      </c>
      <c r="AC141" s="66">
        <f t="shared" si="157"/>
        <v>1932</v>
      </c>
      <c r="AD141" s="179" t="s">
        <v>129</v>
      </c>
      <c r="AE141" s="180" t="s">
        <v>130</v>
      </c>
      <c r="AF141" s="181" t="s">
        <v>131</v>
      </c>
      <c r="AG141" s="70">
        <f>IF(C141="",0,VLOOKUP(AD141,'Look Ups'!$B$3:$C$6,2,0)*VLOOKUP(AE141,'Look Ups'!$E$3:$F$5,2,0)*VLOOKUP(AF141,'Look Ups'!$H$3:$I$7,2,0))</f>
        <v>1</v>
      </c>
      <c r="AH141" s="80">
        <v>11.78</v>
      </c>
      <c r="AI141" s="77">
        <v>11.72</v>
      </c>
      <c r="AJ141" s="77">
        <v>4.0999999999999996</v>
      </c>
      <c r="AK141" s="77">
        <v>0.1</v>
      </c>
      <c r="AL141" s="77">
        <v>1.3</v>
      </c>
      <c r="AM141" s="77">
        <v>11.04</v>
      </c>
      <c r="AN141" s="77">
        <v>0.18</v>
      </c>
      <c r="AO141" s="77">
        <v>4.3</v>
      </c>
      <c r="AP141" s="77">
        <v>0.11</v>
      </c>
      <c r="AQ141" s="77"/>
      <c r="AR141" s="77" t="s">
        <v>132</v>
      </c>
      <c r="AS141" s="87">
        <v>0</v>
      </c>
      <c r="AT141" s="59">
        <f t="shared" si="158"/>
        <v>11.149999999999999</v>
      </c>
      <c r="AU141" s="59">
        <f t="shared" si="159"/>
        <v>0</v>
      </c>
      <c r="AV141" s="72">
        <f>IF(C141="",0,(0.5*(_ML1*LPM)+0.5*(_ML1*HB)+0.66*(P*PR)+0.66*(_ML2*RDM)+0.66*(E*ER))*VLOOKUP(BATT,'Look Ups'!$N$3:$O$4,2,0))</f>
        <v>36.417491999999996</v>
      </c>
      <c r="AW141" s="182"/>
      <c r="AX141" s="183"/>
      <c r="AY141" s="80">
        <v>10.72</v>
      </c>
      <c r="AZ141" s="77">
        <v>3.44</v>
      </c>
      <c r="BA141" s="77">
        <v>3.88</v>
      </c>
      <c r="BB141" s="77">
        <v>0.16</v>
      </c>
      <c r="BC141" s="77">
        <v>9.6999999999999993</v>
      </c>
      <c r="BD141" s="77"/>
      <c r="BE141" s="77"/>
      <c r="BF141" s="77">
        <v>0.15</v>
      </c>
      <c r="BG141" s="77">
        <v>-7.0000000000000007E-2</v>
      </c>
      <c r="BH141" s="87"/>
      <c r="BI141" s="72">
        <f t="shared" si="160"/>
        <v>19.313164000000004</v>
      </c>
      <c r="BJ141" s="76"/>
      <c r="BK141" s="77"/>
      <c r="BL141" s="78"/>
      <c r="BM141" s="78"/>
      <c r="BN141" s="77"/>
      <c r="BO141" s="78"/>
      <c r="BP141" s="78"/>
      <c r="BQ141" s="79">
        <f t="shared" si="161"/>
        <v>0</v>
      </c>
      <c r="BR141" s="80"/>
      <c r="BS141" s="77"/>
      <c r="BT141" s="77"/>
      <c r="BU141" s="77"/>
      <c r="BV141" s="77"/>
      <c r="BW141" s="77"/>
      <c r="BX141" s="77"/>
      <c r="BY141" s="72">
        <f t="shared" si="162"/>
        <v>0</v>
      </c>
      <c r="BZ141" s="182">
        <v>8.19</v>
      </c>
      <c r="CA141" s="77">
        <v>12.1</v>
      </c>
      <c r="CB141" s="77">
        <v>10.36</v>
      </c>
      <c r="CC141" s="77">
        <v>6.23</v>
      </c>
      <c r="CD141" s="65">
        <f t="shared" si="163"/>
        <v>76.068376068376082</v>
      </c>
      <c r="CE141" s="77">
        <v>0</v>
      </c>
      <c r="CF141" s="79">
        <f t="shared" si="164"/>
        <v>61.970883333333333</v>
      </c>
      <c r="CG141" s="80">
        <v>8.3800000000000008</v>
      </c>
      <c r="CH141" s="77">
        <v>11.66</v>
      </c>
      <c r="CI141" s="77">
        <v>9.9600000000000009</v>
      </c>
      <c r="CJ141" s="77">
        <v>4.22</v>
      </c>
      <c r="CK141" s="59">
        <f t="shared" si="181"/>
        <v>50.357995226730303</v>
      </c>
      <c r="CL141" s="77">
        <v>0</v>
      </c>
      <c r="CM141" s="72">
        <f t="shared" si="165"/>
        <v>45.510100000000001</v>
      </c>
      <c r="CN141" s="81">
        <f t="shared" si="166"/>
        <v>1</v>
      </c>
      <c r="CO141" s="59">
        <f t="shared" si="167"/>
        <v>36.417491999999996</v>
      </c>
      <c r="CP141" s="59">
        <f t="shared" si="168"/>
        <v>1</v>
      </c>
      <c r="CQ141" s="59">
        <f t="shared" si="169"/>
        <v>19.313164000000004</v>
      </c>
      <c r="CR141" s="59">
        <f>IF(AV141&gt;0,'Look Ups'!$L$3,0)</f>
        <v>1</v>
      </c>
      <c r="CS141" s="59">
        <f t="shared" si="170"/>
        <v>0</v>
      </c>
      <c r="CT141" s="59">
        <f t="shared" si="182"/>
        <v>0</v>
      </c>
      <c r="CU141" s="59">
        <f t="shared" si="183"/>
        <v>0</v>
      </c>
      <c r="CV141" s="79">
        <f t="shared" si="184"/>
        <v>0</v>
      </c>
      <c r="CW141" s="82" t="str">
        <f t="shared" si="171"/>
        <v>valid</v>
      </c>
      <c r="CX141" s="65" t="str">
        <f t="shared" si="172"/>
        <v>valid</v>
      </c>
      <c r="CY141" s="66" t="str">
        <f t="shared" si="173"/>
        <v>MGScrSp</v>
      </c>
      <c r="CZ141" s="81">
        <f t="shared" si="174"/>
        <v>55.730655999999996</v>
      </c>
      <c r="DA141" s="59">
        <f t="shared" si="175"/>
        <v>12.7973158</v>
      </c>
      <c r="DB141" s="59">
        <f t="shared" si="176"/>
        <v>9.1689275999999982</v>
      </c>
      <c r="DC141" s="59">
        <f t="shared" si="177"/>
        <v>12.584027203333333</v>
      </c>
      <c r="DD141" s="59">
        <f t="shared" si="178"/>
        <v>1.4408314799999999</v>
      </c>
      <c r="DE141" s="79">
        <f t="shared" si="179"/>
        <v>57.577923423999998</v>
      </c>
      <c r="DF141" s="83">
        <f t="shared" si="180"/>
        <v>69.755514683333331</v>
      </c>
    </row>
    <row r="142" spans="2:111" ht="16.5" customHeight="1" x14ac:dyDescent="0.25">
      <c r="B142" s="168"/>
      <c r="C142" s="168" t="s">
        <v>549</v>
      </c>
      <c r="D142" s="169" t="s">
        <v>550</v>
      </c>
      <c r="E142" s="170" t="s">
        <v>551</v>
      </c>
      <c r="F142" s="50">
        <f t="shared" si="151"/>
        <v>0.80116501691898678</v>
      </c>
      <c r="G142" s="50" t="str">
        <f t="shared" ca="1" si="152"/>
        <v>No</v>
      </c>
      <c r="H142" s="51" t="str">
        <f t="shared" si="153"/>
        <v>Main - Genoa - Spinnaker</v>
      </c>
      <c r="I142" s="171">
        <v>35878</v>
      </c>
      <c r="J142" s="171"/>
      <c r="K142" s="172" t="s">
        <v>299</v>
      </c>
      <c r="L142" s="172" t="s">
        <v>390</v>
      </c>
      <c r="M142" s="171"/>
      <c r="N142" s="173" t="s">
        <v>149</v>
      </c>
      <c r="O142" s="173"/>
      <c r="P142" s="174">
        <v>6.7</v>
      </c>
      <c r="Q142" s="175">
        <v>12.41</v>
      </c>
      <c r="R142" s="78"/>
      <c r="S142" s="59">
        <f t="shared" si="154"/>
        <v>0.31025000000000003</v>
      </c>
      <c r="T142" s="176">
        <v>0.64</v>
      </c>
      <c r="U142" s="176">
        <v>0</v>
      </c>
      <c r="V142" s="61">
        <f t="shared" si="155"/>
        <v>11.77</v>
      </c>
      <c r="W142" s="62">
        <f>IF(RL&gt;0,IF(RL&gt;'Look Ups'!R$7,'Look Ups'!R$8,('Look Ups'!R$3*RL^3+'Look Ups'!R$4*RL^2+'Look Ups'!R$5*RL+'Look Ups'!R$6)),0)</f>
        <v>0.29987650368899998</v>
      </c>
      <c r="X142" s="304">
        <v>4435</v>
      </c>
      <c r="Y142" s="337"/>
      <c r="Z142" s="337"/>
      <c r="AA142" s="337"/>
      <c r="AB142" s="290">
        <f t="shared" si="156"/>
        <v>4435</v>
      </c>
      <c r="AC142" s="288">
        <f t="shared" si="157"/>
        <v>4435</v>
      </c>
      <c r="AD142" s="339" t="s">
        <v>129</v>
      </c>
      <c r="AE142" s="339" t="s">
        <v>130</v>
      </c>
      <c r="AF142" s="340" t="s">
        <v>161</v>
      </c>
      <c r="AG142" s="341">
        <f>IF(C142="",0,VLOOKUP(AD142,'Look Ups'!$B$3:$C$6,2,0)*VLOOKUP(AE142,'Look Ups'!$E$3:$F$5,2,0)*VLOOKUP(AF142,'Look Ups'!$H$3:$I$7,2,0))</f>
        <v>0.99</v>
      </c>
      <c r="AH142" s="342">
        <v>13.72</v>
      </c>
      <c r="AI142" s="342">
        <v>13.66</v>
      </c>
      <c r="AJ142" s="342">
        <v>4.24</v>
      </c>
      <c r="AK142" s="342">
        <v>0.17</v>
      </c>
      <c r="AL142" s="342">
        <v>1.33</v>
      </c>
      <c r="AM142" s="342">
        <v>13.13</v>
      </c>
      <c r="AN142" s="342">
        <v>0.22</v>
      </c>
      <c r="AO142" s="342">
        <v>4.4400000000000004</v>
      </c>
      <c r="AP142" s="342">
        <v>0.06</v>
      </c>
      <c r="AQ142" s="342">
        <v>0.54</v>
      </c>
      <c r="AR142" s="342" t="s">
        <v>132</v>
      </c>
      <c r="AS142" s="184">
        <v>0</v>
      </c>
      <c r="AT142" s="59">
        <f t="shared" si="158"/>
        <v>13.190000000000001</v>
      </c>
      <c r="AU142" s="59">
        <f t="shared" si="159"/>
        <v>2.6588250000000002</v>
      </c>
      <c r="AV142" s="72">
        <f>IF(C142="",0,(0.5*(_ML1*LPM)+0.5*(_ML1*HB)+0.66*(P*PR)+0.66*(_ML2*RDM)+0.66*(E*ER))*VLOOKUP(BATT,'Look Ups'!$N$3:$O$4,2,0))</f>
        <v>44.325647999999994</v>
      </c>
      <c r="AW142" s="182"/>
      <c r="AX142" s="183"/>
      <c r="AY142" s="342">
        <v>12.17</v>
      </c>
      <c r="AZ142" s="342">
        <v>4.3600000000000003</v>
      </c>
      <c r="BA142" s="342">
        <v>4.71</v>
      </c>
      <c r="BB142" s="342">
        <v>0.04</v>
      </c>
      <c r="BC142" s="342">
        <v>10.92</v>
      </c>
      <c r="BD142" s="342"/>
      <c r="BE142" s="342"/>
      <c r="BF142" s="342">
        <v>-0.38</v>
      </c>
      <c r="BG142" s="342">
        <v>0</v>
      </c>
      <c r="BH142" s="343"/>
      <c r="BI142" s="344">
        <f t="shared" si="160"/>
        <v>23.916208000000005</v>
      </c>
      <c r="BJ142" s="76"/>
      <c r="BK142" s="77"/>
      <c r="BL142" s="78"/>
      <c r="BM142" s="78"/>
      <c r="BN142" s="77"/>
      <c r="BO142" s="78"/>
      <c r="BP142" s="78"/>
      <c r="BQ142" s="79">
        <f t="shared" si="161"/>
        <v>0</v>
      </c>
      <c r="BR142" s="80"/>
      <c r="BS142" s="77"/>
      <c r="BT142" s="77"/>
      <c r="BU142" s="77"/>
      <c r="BV142" s="77"/>
      <c r="BW142" s="77"/>
      <c r="BX142" s="77"/>
      <c r="BY142" s="72">
        <f t="shared" si="162"/>
        <v>0</v>
      </c>
      <c r="BZ142" s="182">
        <v>10.94</v>
      </c>
      <c r="CA142" s="77">
        <v>15.24</v>
      </c>
      <c r="CB142" s="77">
        <v>15.29</v>
      </c>
      <c r="CC142" s="77">
        <v>9.86</v>
      </c>
      <c r="CD142" s="65">
        <f t="shared" si="163"/>
        <v>90.127970749542968</v>
      </c>
      <c r="CE142" s="77">
        <v>0</v>
      </c>
      <c r="CF142" s="79">
        <f t="shared" si="164"/>
        <v>128.17511666666667</v>
      </c>
      <c r="CG142" s="342"/>
      <c r="CH142" s="342">
        <v>7.2</v>
      </c>
      <c r="CI142" s="342">
        <v>14</v>
      </c>
      <c r="CJ142" s="342">
        <v>12.1</v>
      </c>
      <c r="CK142" s="344" t="str">
        <f t="shared" si="181"/>
        <v/>
      </c>
      <c r="CL142" s="342">
        <v>0</v>
      </c>
      <c r="CM142" s="344">
        <f t="shared" si="165"/>
        <v>85.506666666666661</v>
      </c>
      <c r="CN142" s="81">
        <f t="shared" si="166"/>
        <v>1</v>
      </c>
      <c r="CO142" s="59">
        <f t="shared" si="167"/>
        <v>46.984472999999994</v>
      </c>
      <c r="CP142" s="59">
        <f t="shared" si="168"/>
        <v>1</v>
      </c>
      <c r="CQ142" s="59">
        <f t="shared" si="169"/>
        <v>23.916208000000005</v>
      </c>
      <c r="CR142" s="59">
        <f>IF(AV142&gt;0,'Look Ups'!$L$3,0)</f>
        <v>1</v>
      </c>
      <c r="CS142" s="59">
        <f t="shared" si="170"/>
        <v>0</v>
      </c>
      <c r="CT142" s="59">
        <f t="shared" si="182"/>
        <v>0</v>
      </c>
      <c r="CU142" s="59">
        <f t="shared" si="183"/>
        <v>0</v>
      </c>
      <c r="CV142" s="79">
        <f t="shared" si="184"/>
        <v>0</v>
      </c>
      <c r="CW142" s="82" t="str">
        <f t="shared" si="171"/>
        <v>-</v>
      </c>
      <c r="CX142" s="65" t="str">
        <f t="shared" si="172"/>
        <v>valid</v>
      </c>
      <c r="CY142" s="66" t="str">
        <f t="shared" si="173"/>
        <v>MGSp</v>
      </c>
      <c r="CZ142" s="81">
        <f t="shared" si="174"/>
        <v>70.900680999999992</v>
      </c>
      <c r="DA142" s="59">
        <f t="shared" si="175"/>
        <v>31.277672599999995</v>
      </c>
      <c r="DB142" s="59">
        <f t="shared" si="176"/>
        <v>21.556660533333329</v>
      </c>
      <c r="DC142" s="59">
        <f t="shared" si="177"/>
        <v>30.756378056666662</v>
      </c>
      <c r="DD142" s="59">
        <f t="shared" si="178"/>
        <v>3.3874752266666661</v>
      </c>
      <c r="DE142" s="79">
        <f t="shared" si="179"/>
        <v>73.392053619999984</v>
      </c>
      <c r="DF142" s="83">
        <f t="shared" si="180"/>
        <v>102.17835359999998</v>
      </c>
    </row>
    <row r="143" spans="2:111" ht="16.5" customHeight="1" x14ac:dyDescent="0.25">
      <c r="B143" s="168"/>
      <c r="C143" s="168" t="s">
        <v>552</v>
      </c>
      <c r="D143" s="184"/>
      <c r="E143" s="170" t="s">
        <v>553</v>
      </c>
      <c r="F143" s="50">
        <f t="shared" si="151"/>
        <v>0.84669382012861083</v>
      </c>
      <c r="G143" s="50" t="str">
        <f t="shared" ca="1" si="152"/>
        <v>No</v>
      </c>
      <c r="H143" s="51" t="str">
        <f t="shared" si="153"/>
        <v>Main - Genoa - Spinnaker</v>
      </c>
      <c r="I143" s="171">
        <v>38970</v>
      </c>
      <c r="J143" s="171">
        <v>38970</v>
      </c>
      <c r="K143" s="172"/>
      <c r="L143" s="172"/>
      <c r="M143" s="171"/>
      <c r="N143" s="87" t="s">
        <v>149</v>
      </c>
      <c r="O143" s="87"/>
      <c r="P143" s="185"/>
      <c r="Q143" s="175">
        <v>7.33</v>
      </c>
      <c r="R143" s="78"/>
      <c r="S143" s="59">
        <f t="shared" si="154"/>
        <v>0.18325000000000002</v>
      </c>
      <c r="T143" s="176">
        <v>0.21</v>
      </c>
      <c r="U143" s="176">
        <v>0</v>
      </c>
      <c r="V143" s="61">
        <f t="shared" si="155"/>
        <v>7.12</v>
      </c>
      <c r="W143" s="62">
        <f>IF(RL&gt;0,IF(RL&gt;'Look Ups'!R$7,'Look Ups'!R$8,('Look Ups'!R$3*RL^3+'Look Ups'!R$4*RL^2+'Look Ups'!R$5*RL+'Look Ups'!R$6)),0)</f>
        <v>0.290278996224</v>
      </c>
      <c r="X143" s="304">
        <v>1100</v>
      </c>
      <c r="Y143" s="337">
        <v>0</v>
      </c>
      <c r="Z143" s="337"/>
      <c r="AA143" s="337"/>
      <c r="AB143" s="290">
        <f t="shared" si="156"/>
        <v>1100</v>
      </c>
      <c r="AC143" s="288">
        <f t="shared" si="157"/>
        <v>1100</v>
      </c>
      <c r="AD143" s="345" t="s">
        <v>129</v>
      </c>
      <c r="AE143" s="345" t="s">
        <v>130</v>
      </c>
      <c r="AF143" s="346" t="s">
        <v>131</v>
      </c>
      <c r="AG143" s="347">
        <f>IF(C143="",0,VLOOKUP(AD143,'Look Ups'!$B$3:$C$6,2,0)*VLOOKUP(AE143,'Look Ups'!$E$3:$F$5,2,0)*VLOOKUP(AF143,'Look Ups'!$H$3:$I$7,2,0))</f>
        <v>1</v>
      </c>
      <c r="AH143" s="348">
        <v>10.1</v>
      </c>
      <c r="AI143" s="348">
        <v>9.8800000000000008</v>
      </c>
      <c r="AJ143" s="348">
        <v>2.89</v>
      </c>
      <c r="AK143" s="348">
        <v>0.93</v>
      </c>
      <c r="AL143" s="348">
        <v>0.52</v>
      </c>
      <c r="AM143" s="348">
        <v>11.08</v>
      </c>
      <c r="AN143" s="348">
        <v>0.16</v>
      </c>
      <c r="AO143" s="348">
        <v>3.17</v>
      </c>
      <c r="AP143" s="348">
        <v>0</v>
      </c>
      <c r="AQ143" s="348">
        <v>0</v>
      </c>
      <c r="AR143" s="348" t="s">
        <v>132</v>
      </c>
      <c r="AS143" s="184">
        <v>0</v>
      </c>
      <c r="AT143" s="59">
        <f t="shared" si="158"/>
        <v>11.08</v>
      </c>
      <c r="AU143" s="59">
        <f t="shared" si="159"/>
        <v>0</v>
      </c>
      <c r="AV143" s="72">
        <f>IF(C143="",0,(0.5*(_ML1*LPM)+0.5*(_ML1*HB)+0.66*(P*PR)+0.66*(_ML2*RDM)+0.66*(E*ER))*VLOOKUP(BATT,'Look Ups'!$N$3:$O$4,2,0))</f>
        <v>23.851864000000003</v>
      </c>
      <c r="AW143" s="182"/>
      <c r="AX143" s="183"/>
      <c r="AY143" s="348">
        <v>9.8699999999999992</v>
      </c>
      <c r="AZ143" s="348">
        <v>2.5</v>
      </c>
      <c r="BA143" s="348">
        <v>2.78</v>
      </c>
      <c r="BB143" s="348">
        <v>0.04</v>
      </c>
      <c r="BC143" s="348">
        <v>8.94</v>
      </c>
      <c r="BD143" s="348"/>
      <c r="BE143" s="348"/>
      <c r="BF143" s="348">
        <v>-0.11</v>
      </c>
      <c r="BG143" s="348">
        <v>-0.06</v>
      </c>
      <c r="BH143" s="349">
        <v>0</v>
      </c>
      <c r="BI143" s="350">
        <f t="shared" si="160"/>
        <v>11.370995999999998</v>
      </c>
      <c r="BJ143" s="76"/>
      <c r="BK143" s="77"/>
      <c r="BL143" s="78"/>
      <c r="BM143" s="78"/>
      <c r="BN143" s="77"/>
      <c r="BO143" s="78"/>
      <c r="BP143" s="78"/>
      <c r="BQ143" s="79">
        <f t="shared" si="161"/>
        <v>0</v>
      </c>
      <c r="BR143" s="80"/>
      <c r="BS143" s="77"/>
      <c r="BT143" s="77"/>
      <c r="BU143" s="77"/>
      <c r="BV143" s="77"/>
      <c r="BW143" s="77"/>
      <c r="BX143" s="77"/>
      <c r="BY143" s="72">
        <f t="shared" si="162"/>
        <v>0</v>
      </c>
      <c r="BZ143" s="182">
        <v>8</v>
      </c>
      <c r="CA143" s="77">
        <v>13.76</v>
      </c>
      <c r="CB143" s="77">
        <v>11.24</v>
      </c>
      <c r="CC143" s="77">
        <v>7.8</v>
      </c>
      <c r="CD143" s="65">
        <f t="shared" si="163"/>
        <v>97.5</v>
      </c>
      <c r="CE143" s="87">
        <v>0</v>
      </c>
      <c r="CF143" s="79">
        <f t="shared" si="164"/>
        <v>81.666666666666671</v>
      </c>
      <c r="CG143" s="348"/>
      <c r="CH143" s="348"/>
      <c r="CI143" s="348"/>
      <c r="CJ143" s="348"/>
      <c r="CK143" s="350" t="str">
        <f t="shared" si="181"/>
        <v/>
      </c>
      <c r="CL143" s="349">
        <v>0</v>
      </c>
      <c r="CM143" s="350">
        <f t="shared" si="165"/>
        <v>0</v>
      </c>
      <c r="CN143" s="81">
        <f t="shared" si="166"/>
        <v>1</v>
      </c>
      <c r="CO143" s="59">
        <f t="shared" si="167"/>
        <v>23.851864000000003</v>
      </c>
      <c r="CP143" s="59">
        <f t="shared" si="168"/>
        <v>1</v>
      </c>
      <c r="CQ143" s="59">
        <f t="shared" si="169"/>
        <v>11.370995999999998</v>
      </c>
      <c r="CR143" s="59">
        <f>IF(AV143&gt;0,'Look Ups'!$L$3,0)</f>
        <v>1</v>
      </c>
      <c r="CS143" s="59">
        <f t="shared" si="170"/>
        <v>0</v>
      </c>
      <c r="CT143" s="59">
        <f t="shared" si="182"/>
        <v>0</v>
      </c>
      <c r="CU143" s="59">
        <f t="shared" si="183"/>
        <v>0</v>
      </c>
      <c r="CV143" s="79">
        <f t="shared" si="184"/>
        <v>0</v>
      </c>
      <c r="CW143" s="82" t="str">
        <f t="shared" si="171"/>
        <v>-</v>
      </c>
      <c r="CX143" s="65" t="str">
        <f t="shared" si="172"/>
        <v>valid</v>
      </c>
      <c r="CY143" s="66" t="str">
        <f t="shared" si="173"/>
        <v>MGSp</v>
      </c>
      <c r="CZ143" s="81">
        <f t="shared" si="174"/>
        <v>35.222859999999997</v>
      </c>
      <c r="DA143" s="59">
        <f t="shared" si="175"/>
        <v>21.088701199999999</v>
      </c>
      <c r="DB143" s="59">
        <f t="shared" si="176"/>
        <v>0</v>
      </c>
      <c r="DC143" s="59">
        <f t="shared" si="177"/>
        <v>20.737222846666665</v>
      </c>
      <c r="DD143" s="59">
        <f t="shared" si="178"/>
        <v>0</v>
      </c>
      <c r="DE143" s="79">
        <f t="shared" si="179"/>
        <v>36.570793743999999</v>
      </c>
      <c r="DF143" s="83">
        <f t="shared" si="180"/>
        <v>56.3115612</v>
      </c>
    </row>
    <row r="144" spans="2:111" ht="16.5" customHeight="1" x14ac:dyDescent="0.25">
      <c r="B144" s="168"/>
      <c r="C144" s="47" t="s">
        <v>151</v>
      </c>
      <c r="D144" s="48" t="s">
        <v>152</v>
      </c>
      <c r="E144" s="49" t="s">
        <v>995</v>
      </c>
      <c r="F144" s="50">
        <f t="shared" si="151"/>
        <v>0.81427684113358334</v>
      </c>
      <c r="G144" s="50" t="str">
        <f t="shared" ca="1" si="152"/>
        <v>No</v>
      </c>
      <c r="H144" s="51" t="str">
        <f t="shared" si="153"/>
        <v>Main - Genoa - Screacher - Spinnaker</v>
      </c>
      <c r="I144" s="52">
        <v>40493</v>
      </c>
      <c r="J144" s="52">
        <v>40798</v>
      </c>
      <c r="K144" s="53" t="s">
        <v>153</v>
      </c>
      <c r="L144" s="53" t="s">
        <v>148</v>
      </c>
      <c r="M144" s="54"/>
      <c r="N144" s="55" t="s">
        <v>127</v>
      </c>
      <c r="O144" s="55" t="s">
        <v>128</v>
      </c>
      <c r="P144" s="86"/>
      <c r="Q144" s="57">
        <v>8.27</v>
      </c>
      <c r="R144" s="58"/>
      <c r="S144" s="59">
        <f t="shared" si="154"/>
        <v>0.20674999999999999</v>
      </c>
      <c r="T144" s="60">
        <v>7.0000000000000007E-2</v>
      </c>
      <c r="U144" s="60">
        <v>0</v>
      </c>
      <c r="V144" s="61">
        <f t="shared" si="155"/>
        <v>8.1999999999999993</v>
      </c>
      <c r="W144" s="62">
        <f>IF(RL&gt;0,IF(RL&gt;'Look Ups'!R$7,'Look Ups'!R$8,('Look Ups'!R$3*RL^3+'Look Ups'!R$4*RL^2+'Look Ups'!R$5*RL+'Look Ups'!R$6)),0)</f>
        <v>0.29445914400000001</v>
      </c>
      <c r="X144" s="256">
        <f>1435-55</f>
        <v>1380</v>
      </c>
      <c r="Y144" s="338"/>
      <c r="Z144" s="338"/>
      <c r="AA144" s="338"/>
      <c r="AB144" s="290">
        <f t="shared" si="156"/>
        <v>1380</v>
      </c>
      <c r="AC144" s="66">
        <f t="shared" si="157"/>
        <v>1380</v>
      </c>
      <c r="AD144" s="67" t="s">
        <v>154</v>
      </c>
      <c r="AE144" s="68" t="s">
        <v>130</v>
      </c>
      <c r="AF144" s="69" t="s">
        <v>131</v>
      </c>
      <c r="AG144" s="70">
        <f>IF(C144="",0,VLOOKUP(AD144,'Look Ups'!$B$3:$C$6,2,0)*VLOOKUP(AE144,'Look Ups'!$E$3:$F$5,2,0)*VLOOKUP(AF144,'Look Ups'!$H$3:$I$7,2,0))</f>
        <v>0.99</v>
      </c>
      <c r="AH144" s="71">
        <v>10.51</v>
      </c>
      <c r="AI144" s="60">
        <v>10.29</v>
      </c>
      <c r="AJ144" s="60">
        <v>3.23</v>
      </c>
      <c r="AK144" s="60">
        <v>0.75</v>
      </c>
      <c r="AL144" s="60">
        <v>0.66</v>
      </c>
      <c r="AM144" s="60">
        <v>10.33</v>
      </c>
      <c r="AN144" s="60">
        <v>0.06</v>
      </c>
      <c r="AO144" s="60">
        <v>3.35</v>
      </c>
      <c r="AP144" s="60">
        <v>0.04</v>
      </c>
      <c r="AQ144" s="60">
        <v>0.48</v>
      </c>
      <c r="AR144" s="60" t="s">
        <v>132</v>
      </c>
      <c r="AS144" s="75">
        <v>1</v>
      </c>
      <c r="AT144" s="59">
        <f t="shared" si="158"/>
        <v>10.37</v>
      </c>
      <c r="AU144" s="59">
        <f t="shared" si="159"/>
        <v>1.8593999999999999</v>
      </c>
      <c r="AV144" s="72">
        <f>IF(C144="",0,(0.5*(_ML1*LPM)+0.5*(_ML1*HB)+0.66*(P*PR)+0.66*(_ML2*RDM)+0.66*(E*ER))*VLOOKUP(BATT,'Look Ups'!$N$3:$O$4,2,0))</f>
        <v>25.894731999999998</v>
      </c>
      <c r="AW144" s="73"/>
      <c r="AX144" s="74"/>
      <c r="AY144" s="71">
        <v>8.69</v>
      </c>
      <c r="AZ144" s="60">
        <v>2.58</v>
      </c>
      <c r="BA144" s="60">
        <v>2.86</v>
      </c>
      <c r="BB144" s="60">
        <v>0.14000000000000001</v>
      </c>
      <c r="BC144" s="60">
        <v>7.83</v>
      </c>
      <c r="BD144" s="60"/>
      <c r="BE144" s="60"/>
      <c r="BF144" s="60">
        <v>0.12</v>
      </c>
      <c r="BG144" s="60">
        <v>0.04</v>
      </c>
      <c r="BH144" s="58">
        <v>1</v>
      </c>
      <c r="BI144" s="72">
        <f t="shared" si="160"/>
        <v>12.323916000000001</v>
      </c>
      <c r="BJ144" s="76"/>
      <c r="BK144" s="77"/>
      <c r="BL144" s="78"/>
      <c r="BM144" s="78"/>
      <c r="BN144" s="77"/>
      <c r="BO144" s="78"/>
      <c r="BP144" s="78"/>
      <c r="BQ144" s="79">
        <f t="shared" si="161"/>
        <v>0</v>
      </c>
      <c r="BR144" s="80"/>
      <c r="BS144" s="77"/>
      <c r="BT144" s="77"/>
      <c r="BU144" s="77"/>
      <c r="BV144" s="77"/>
      <c r="BW144" s="77"/>
      <c r="BX144" s="77"/>
      <c r="BY144" s="72">
        <f t="shared" si="162"/>
        <v>0</v>
      </c>
      <c r="BZ144" s="73">
        <v>7.22</v>
      </c>
      <c r="CA144" s="60">
        <v>11.7</v>
      </c>
      <c r="CB144" s="60">
        <v>10.26</v>
      </c>
      <c r="CC144" s="60">
        <v>6.62</v>
      </c>
      <c r="CD144" s="65">
        <f t="shared" si="163"/>
        <v>91.689750692520775</v>
      </c>
      <c r="CE144" s="60">
        <v>0</v>
      </c>
      <c r="CF144" s="79">
        <f t="shared" si="164"/>
        <v>61.671000000000006</v>
      </c>
      <c r="CG144" s="71">
        <v>6.32</v>
      </c>
      <c r="CH144" s="60">
        <v>10.14</v>
      </c>
      <c r="CI144" s="60">
        <v>8.4600000000000009</v>
      </c>
      <c r="CJ144" s="60">
        <v>3.24</v>
      </c>
      <c r="CK144" s="59">
        <f t="shared" si="181"/>
        <v>51.265822784810119</v>
      </c>
      <c r="CL144" s="60"/>
      <c r="CM144" s="72">
        <f t="shared" si="165"/>
        <v>29.884000000000007</v>
      </c>
      <c r="CN144" s="81">
        <f t="shared" si="166"/>
        <v>1</v>
      </c>
      <c r="CO144" s="59">
        <f t="shared" si="167"/>
        <v>27.754131999999998</v>
      </c>
      <c r="CP144" s="59">
        <f t="shared" si="168"/>
        <v>1</v>
      </c>
      <c r="CQ144" s="59">
        <f t="shared" si="169"/>
        <v>12.323916000000001</v>
      </c>
      <c r="CR144" s="59">
        <f>IF(AV144&gt;0,'Look Ups'!$L$3,0)</f>
        <v>1</v>
      </c>
      <c r="CS144" s="59">
        <f t="shared" si="170"/>
        <v>0</v>
      </c>
      <c r="CT144" s="59">
        <f t="shared" si="182"/>
        <v>0</v>
      </c>
      <c r="CU144" s="59">
        <f t="shared" si="183"/>
        <v>0</v>
      </c>
      <c r="CV144" s="79">
        <f t="shared" si="184"/>
        <v>0</v>
      </c>
      <c r="CW144" s="82" t="str">
        <f t="shared" si="171"/>
        <v>valid</v>
      </c>
      <c r="CX144" s="65" t="str">
        <f t="shared" si="172"/>
        <v>valid</v>
      </c>
      <c r="CY144" s="66" t="str">
        <f t="shared" si="173"/>
        <v>MGScrSp</v>
      </c>
      <c r="CZ144" s="81">
        <f t="shared" si="174"/>
        <v>40.078047999999995</v>
      </c>
      <c r="DA144" s="59">
        <f t="shared" si="175"/>
        <v>14.804125200000001</v>
      </c>
      <c r="DB144" s="59">
        <f t="shared" si="176"/>
        <v>6.1460294000000024</v>
      </c>
      <c r="DC144" s="59">
        <f t="shared" si="177"/>
        <v>14.557389780000001</v>
      </c>
      <c r="DD144" s="59">
        <f t="shared" si="178"/>
        <v>0.96580462000000034</v>
      </c>
      <c r="DE144" s="79">
        <f t="shared" si="179"/>
        <v>41.744511327999994</v>
      </c>
      <c r="DF144" s="83">
        <f t="shared" si="180"/>
        <v>55.601242399999997</v>
      </c>
    </row>
    <row r="145" spans="2:110" ht="16.5" customHeight="1" x14ac:dyDescent="0.25">
      <c r="B145" s="47"/>
      <c r="C145" s="168" t="s">
        <v>155</v>
      </c>
      <c r="D145" s="169" t="s">
        <v>554</v>
      </c>
      <c r="E145" s="170" t="s">
        <v>555</v>
      </c>
      <c r="F145" s="50">
        <f t="shared" si="151"/>
        <v>1.0438118504250111</v>
      </c>
      <c r="G145" s="50" t="str">
        <f t="shared" ca="1" si="152"/>
        <v>No</v>
      </c>
      <c r="H145" s="51" t="str">
        <f t="shared" si="153"/>
        <v>Main - Genoa - Spinnaker</v>
      </c>
      <c r="I145" s="171">
        <v>37342</v>
      </c>
      <c r="J145" s="171"/>
      <c r="K145" s="172" t="s">
        <v>305</v>
      </c>
      <c r="L145" s="172" t="s">
        <v>390</v>
      </c>
      <c r="M145" s="171"/>
      <c r="N145" s="173" t="s">
        <v>541</v>
      </c>
      <c r="O145" s="173"/>
      <c r="P145" s="174">
        <v>8.3000000000000007</v>
      </c>
      <c r="Q145" s="175">
        <v>12.68</v>
      </c>
      <c r="R145" s="78"/>
      <c r="S145" s="59">
        <f t="shared" si="154"/>
        <v>0.317</v>
      </c>
      <c r="T145" s="176">
        <v>0.77</v>
      </c>
      <c r="U145" s="176">
        <v>0</v>
      </c>
      <c r="V145" s="61">
        <f t="shared" si="155"/>
        <v>11.91</v>
      </c>
      <c r="W145" s="62">
        <f>IF(RL&gt;0,IF(RL&gt;'Look Ups'!R$7,'Look Ups'!R$8,('Look Ups'!R$3*RL^3+'Look Ups'!R$4*RL^2+'Look Ups'!R$5*RL+'Look Ups'!R$6)),0)</f>
        <v>0.299908218743</v>
      </c>
      <c r="X145" s="304">
        <v>3160</v>
      </c>
      <c r="Y145" s="337"/>
      <c r="Z145" s="337"/>
      <c r="AA145" s="337"/>
      <c r="AB145" s="290">
        <f t="shared" si="156"/>
        <v>3160</v>
      </c>
      <c r="AC145" s="66">
        <f t="shared" si="157"/>
        <v>3160</v>
      </c>
      <c r="AD145" s="179" t="s">
        <v>129</v>
      </c>
      <c r="AE145" s="180" t="s">
        <v>130</v>
      </c>
      <c r="AF145" s="181" t="s">
        <v>131</v>
      </c>
      <c r="AG145" s="70">
        <f>IF(C145="",0,VLOOKUP(AD145,'Look Ups'!$B$3:$C$6,2,0)*VLOOKUP(AE145,'Look Ups'!$E$3:$F$5,2,0)*VLOOKUP(AF145,'Look Ups'!$H$3:$I$7,2,0))</f>
        <v>1</v>
      </c>
      <c r="AH145" s="80">
        <v>14.27</v>
      </c>
      <c r="AI145" s="77">
        <v>14.22</v>
      </c>
      <c r="AJ145" s="77">
        <v>4.2300000000000004</v>
      </c>
      <c r="AK145" s="77">
        <v>0.14000000000000001</v>
      </c>
      <c r="AL145" s="77">
        <v>0.84</v>
      </c>
      <c r="AM145" s="77">
        <v>14</v>
      </c>
      <c r="AN145" s="77">
        <v>0.16</v>
      </c>
      <c r="AO145" s="77">
        <v>4.3499999999999996</v>
      </c>
      <c r="AP145" s="77">
        <v>0</v>
      </c>
      <c r="AQ145" s="77">
        <v>0.30000000000000004</v>
      </c>
      <c r="AR145" s="77" t="s">
        <v>132</v>
      </c>
      <c r="AS145" s="87">
        <v>0</v>
      </c>
      <c r="AT145" s="59">
        <f t="shared" si="158"/>
        <v>14</v>
      </c>
      <c r="AU145" s="59">
        <f t="shared" si="159"/>
        <v>1.5750000000000002</v>
      </c>
      <c r="AV145" s="72">
        <f>IF(C145="",0,(0.5*(_ML1*LPM)+0.5*(_ML1*HB)+0.66*(P*PR)+0.66*(_ML2*RDM)+0.66*(E*ER))*VLOOKUP(BATT,'Look Ups'!$N$3:$O$4,2,0))</f>
        <v>40.541918000000003</v>
      </c>
      <c r="AW145" s="182"/>
      <c r="AX145" s="183"/>
      <c r="AY145" s="80">
        <v>15.83</v>
      </c>
      <c r="AZ145" s="77">
        <v>8.76</v>
      </c>
      <c r="BA145" s="77">
        <v>9.17</v>
      </c>
      <c r="BB145" s="77">
        <v>0.4</v>
      </c>
      <c r="BC145" s="77">
        <v>15.7</v>
      </c>
      <c r="BD145" s="77"/>
      <c r="BE145" s="77"/>
      <c r="BF145" s="77">
        <v>-0.05</v>
      </c>
      <c r="BG145" s="77">
        <v>-0.35</v>
      </c>
      <c r="BH145" s="87"/>
      <c r="BI145" s="72">
        <f t="shared" si="160"/>
        <v>67.58144999999999</v>
      </c>
      <c r="BJ145" s="76"/>
      <c r="BK145" s="77"/>
      <c r="BL145" s="78"/>
      <c r="BM145" s="78"/>
      <c r="BN145" s="77"/>
      <c r="BO145" s="78"/>
      <c r="BP145" s="78"/>
      <c r="BQ145" s="79">
        <f t="shared" si="161"/>
        <v>0</v>
      </c>
      <c r="BR145" s="80"/>
      <c r="BS145" s="77"/>
      <c r="BT145" s="77"/>
      <c r="BU145" s="77"/>
      <c r="BV145" s="77"/>
      <c r="BW145" s="77"/>
      <c r="BX145" s="77"/>
      <c r="BY145" s="72">
        <f t="shared" si="162"/>
        <v>0</v>
      </c>
      <c r="BZ145" s="182">
        <v>11.48</v>
      </c>
      <c r="CA145" s="77">
        <v>19.13</v>
      </c>
      <c r="CB145" s="77">
        <v>19.46</v>
      </c>
      <c r="CC145" s="77">
        <v>11.6</v>
      </c>
      <c r="CD145" s="65">
        <f t="shared" si="163"/>
        <v>101.04529616724737</v>
      </c>
      <c r="CE145" s="77">
        <v>0</v>
      </c>
      <c r="CF145" s="79">
        <f t="shared" si="164"/>
        <v>186.13243333333332</v>
      </c>
      <c r="CG145" s="80"/>
      <c r="CH145" s="77"/>
      <c r="CI145" s="77"/>
      <c r="CJ145" s="77"/>
      <c r="CK145" s="59" t="str">
        <f t="shared" si="181"/>
        <v/>
      </c>
      <c r="CL145" s="77">
        <v>0</v>
      </c>
      <c r="CM145" s="72">
        <f t="shared" si="165"/>
        <v>0</v>
      </c>
      <c r="CN145" s="81">
        <f t="shared" si="166"/>
        <v>1</v>
      </c>
      <c r="CO145" s="59">
        <f t="shared" si="167"/>
        <v>42.116918000000005</v>
      </c>
      <c r="CP145" s="59">
        <f t="shared" si="168"/>
        <v>1</v>
      </c>
      <c r="CQ145" s="59">
        <f t="shared" si="169"/>
        <v>67.58144999999999</v>
      </c>
      <c r="CR145" s="59">
        <f>IF(AV145&gt;0,'Look Ups'!$L$3,0)</f>
        <v>1</v>
      </c>
      <c r="CS145" s="59">
        <f t="shared" si="170"/>
        <v>0</v>
      </c>
      <c r="CT145" s="59">
        <f t="shared" si="182"/>
        <v>0</v>
      </c>
      <c r="CU145" s="59">
        <f t="shared" si="183"/>
        <v>0</v>
      </c>
      <c r="CV145" s="79">
        <f t="shared" si="184"/>
        <v>0</v>
      </c>
      <c r="CW145" s="82" t="str">
        <f t="shared" si="171"/>
        <v>-</v>
      </c>
      <c r="CX145" s="65" t="str">
        <f t="shared" si="172"/>
        <v>valid</v>
      </c>
      <c r="CY145" s="66" t="str">
        <f t="shared" si="173"/>
        <v>MGSp</v>
      </c>
      <c r="CZ145" s="81">
        <f t="shared" si="174"/>
        <v>109.69836799999999</v>
      </c>
      <c r="DA145" s="59">
        <f t="shared" si="175"/>
        <v>35.565294999999999</v>
      </c>
      <c r="DB145" s="59">
        <f t="shared" si="176"/>
        <v>0</v>
      </c>
      <c r="DC145" s="59">
        <f t="shared" si="177"/>
        <v>34.972540083333335</v>
      </c>
      <c r="DD145" s="59">
        <f t="shared" si="178"/>
        <v>0</v>
      </c>
      <c r="DE145" s="79">
        <f t="shared" si="179"/>
        <v>106.94819854399999</v>
      </c>
      <c r="DF145" s="83">
        <f t="shared" si="180"/>
        <v>145.26366299999998</v>
      </c>
    </row>
    <row r="146" spans="2:110" ht="16.5" customHeight="1" x14ac:dyDescent="0.25">
      <c r="B146" s="168"/>
      <c r="C146" s="168" t="s">
        <v>556</v>
      </c>
      <c r="D146" s="184"/>
      <c r="E146" s="170" t="s">
        <v>557</v>
      </c>
      <c r="F146" s="50">
        <f t="shared" si="151"/>
        <v>1.0712728614646354</v>
      </c>
      <c r="G146" s="50" t="str">
        <f t="shared" ca="1" si="152"/>
        <v>No</v>
      </c>
      <c r="H146" s="51" t="str">
        <f t="shared" si="153"/>
        <v>Main - Genoa - Spinnaker</v>
      </c>
      <c r="I146" s="171">
        <v>39046</v>
      </c>
      <c r="J146" s="171"/>
      <c r="K146" s="172" t="s">
        <v>558</v>
      </c>
      <c r="L146" s="172" t="s">
        <v>390</v>
      </c>
      <c r="M146" s="171"/>
      <c r="N146" s="87" t="s">
        <v>149</v>
      </c>
      <c r="O146" s="87"/>
      <c r="P146" s="185"/>
      <c r="Q146" s="175">
        <v>15.2</v>
      </c>
      <c r="R146" s="78"/>
      <c r="S146" s="59">
        <f t="shared" si="154"/>
        <v>0.38</v>
      </c>
      <c r="T146" s="176"/>
      <c r="U146" s="176"/>
      <c r="V146" s="61">
        <f t="shared" si="155"/>
        <v>15.2</v>
      </c>
      <c r="W146" s="62">
        <f>IF(RL&gt;0,IF(RL&gt;'Look Ups'!R$7,'Look Ups'!R$8,('Look Ups'!R$3*RL^3+'Look Ups'!R$4*RL^2+'Look Ups'!R$5*RL+'Look Ups'!R$6)),0)</f>
        <v>0.3</v>
      </c>
      <c r="X146" s="304">
        <v>4361</v>
      </c>
      <c r="Y146" s="337"/>
      <c r="Z146" s="337"/>
      <c r="AA146" s="337"/>
      <c r="AB146" s="290">
        <f t="shared" si="156"/>
        <v>4361</v>
      </c>
      <c r="AC146" s="66">
        <f t="shared" si="157"/>
        <v>4361</v>
      </c>
      <c r="AD146" s="179" t="s">
        <v>129</v>
      </c>
      <c r="AE146" s="180" t="s">
        <v>130</v>
      </c>
      <c r="AF146" s="181" t="s">
        <v>131</v>
      </c>
      <c r="AG146" s="70">
        <f>IF(C146="",0,VLOOKUP(AD146,'Look Ups'!$B$3:$C$6,2,0)*VLOOKUP(AE146,'Look Ups'!$E$3:$F$5,2,0)*VLOOKUP(AF146,'Look Ups'!$H$3:$I$7,2,0))</f>
        <v>1</v>
      </c>
      <c r="AH146" s="80">
        <v>18.38</v>
      </c>
      <c r="AI146" s="77">
        <v>17.850000000000001</v>
      </c>
      <c r="AJ146" s="77">
        <v>5.5</v>
      </c>
      <c r="AK146" s="77">
        <v>0.95</v>
      </c>
      <c r="AL146" s="77">
        <v>1.47</v>
      </c>
      <c r="AM146" s="77">
        <v>18.2</v>
      </c>
      <c r="AN146" s="77">
        <v>0.2</v>
      </c>
      <c r="AO146" s="77">
        <v>5.59</v>
      </c>
      <c r="AP146" s="77">
        <v>0.12</v>
      </c>
      <c r="AQ146" s="77">
        <v>0.72</v>
      </c>
      <c r="AR146" s="77" t="s">
        <v>132</v>
      </c>
      <c r="AS146" s="87">
        <v>0</v>
      </c>
      <c r="AT146" s="59">
        <f t="shared" si="158"/>
        <v>18.32</v>
      </c>
      <c r="AU146" s="59">
        <f t="shared" si="159"/>
        <v>4.9139999999999997</v>
      </c>
      <c r="AV146" s="72">
        <f>IF(C146="",0,(0.5*(_ML1*LPM)+0.5*(_ML1*HB)+0.66*(P*PR)+0.66*(_ML2*RDM)+0.66*(E*ER))*VLOOKUP(BATT,'Look Ups'!$N$3:$O$4,2,0))</f>
        <v>79.438698000000002</v>
      </c>
      <c r="AW146" s="182"/>
      <c r="AX146" s="183"/>
      <c r="AY146" s="80">
        <v>16.77</v>
      </c>
      <c r="AZ146" s="77">
        <v>4.91</v>
      </c>
      <c r="BA146" s="77">
        <v>5.27</v>
      </c>
      <c r="BB146" s="77">
        <v>0.2</v>
      </c>
      <c r="BC146" s="77">
        <v>15.67</v>
      </c>
      <c r="BD146" s="77"/>
      <c r="BE146" s="77"/>
      <c r="BF146" s="77">
        <v>-0.12</v>
      </c>
      <c r="BG146" s="77">
        <v>-0.04</v>
      </c>
      <c r="BH146" s="87">
        <v>0</v>
      </c>
      <c r="BI146" s="72">
        <f t="shared" si="160"/>
        <v>40.182197999999993</v>
      </c>
      <c r="BJ146" s="76"/>
      <c r="BK146" s="77"/>
      <c r="BL146" s="78"/>
      <c r="BM146" s="78"/>
      <c r="BN146" s="77"/>
      <c r="BO146" s="78"/>
      <c r="BP146" s="78"/>
      <c r="BQ146" s="79">
        <f t="shared" si="161"/>
        <v>0</v>
      </c>
      <c r="BR146" s="80"/>
      <c r="BS146" s="77"/>
      <c r="BT146" s="77"/>
      <c r="BU146" s="77"/>
      <c r="BV146" s="77"/>
      <c r="BW146" s="77"/>
      <c r="BX146" s="77"/>
      <c r="BY146" s="72">
        <f t="shared" si="162"/>
        <v>0</v>
      </c>
      <c r="BZ146" s="182">
        <v>13.35</v>
      </c>
      <c r="CA146" s="77">
        <v>19.420000000000002</v>
      </c>
      <c r="CB146" s="77">
        <v>17.37</v>
      </c>
      <c r="CC146" s="77">
        <v>11.65</v>
      </c>
      <c r="CD146" s="65">
        <f t="shared" si="163"/>
        <v>87.265917602996254</v>
      </c>
      <c r="CE146" s="87">
        <v>0</v>
      </c>
      <c r="CF146" s="79">
        <f t="shared" si="164"/>
        <v>183.79670833333336</v>
      </c>
      <c r="CG146" s="80"/>
      <c r="CH146" s="77"/>
      <c r="CI146" s="77"/>
      <c r="CJ146" s="77"/>
      <c r="CK146" s="59" t="str">
        <f t="shared" si="181"/>
        <v/>
      </c>
      <c r="CL146" s="87">
        <v>0</v>
      </c>
      <c r="CM146" s="72">
        <f t="shared" si="165"/>
        <v>0</v>
      </c>
      <c r="CN146" s="81">
        <f t="shared" si="166"/>
        <v>1</v>
      </c>
      <c r="CO146" s="59">
        <f t="shared" si="167"/>
        <v>84.352698000000004</v>
      </c>
      <c r="CP146" s="59">
        <f t="shared" si="168"/>
        <v>1</v>
      </c>
      <c r="CQ146" s="59">
        <f t="shared" si="169"/>
        <v>40.182197999999993</v>
      </c>
      <c r="CR146" s="59">
        <f>IF(AV146&gt;0,'Look Ups'!$L$3,0)</f>
        <v>1</v>
      </c>
      <c r="CS146" s="59">
        <f t="shared" si="170"/>
        <v>0</v>
      </c>
      <c r="CT146" s="59">
        <f t="shared" si="182"/>
        <v>0</v>
      </c>
      <c r="CU146" s="59">
        <f t="shared" si="183"/>
        <v>0</v>
      </c>
      <c r="CV146" s="79">
        <f t="shared" si="184"/>
        <v>0</v>
      </c>
      <c r="CW146" s="82" t="str">
        <f t="shared" si="171"/>
        <v>-</v>
      </c>
      <c r="CX146" s="65" t="str">
        <f t="shared" si="172"/>
        <v>valid</v>
      </c>
      <c r="CY146" s="66" t="str">
        <f t="shared" si="173"/>
        <v>MGSp</v>
      </c>
      <c r="CZ146" s="81">
        <f t="shared" si="174"/>
        <v>124.534896</v>
      </c>
      <c r="DA146" s="59">
        <f t="shared" si="175"/>
        <v>43.084353100000008</v>
      </c>
      <c r="DB146" s="59">
        <f t="shared" si="176"/>
        <v>0</v>
      </c>
      <c r="DC146" s="59">
        <f t="shared" si="177"/>
        <v>42.366280548333336</v>
      </c>
      <c r="DD146" s="59">
        <f t="shared" si="178"/>
        <v>0</v>
      </c>
      <c r="DE146" s="79">
        <f t="shared" si="179"/>
        <v>129.30530999999999</v>
      </c>
      <c r="DF146" s="83">
        <f t="shared" si="180"/>
        <v>167.61924910000002</v>
      </c>
    </row>
    <row r="147" spans="2:110" ht="16.5" customHeight="1" x14ac:dyDescent="0.25">
      <c r="B147" s="168"/>
      <c r="C147" s="47" t="s">
        <v>163</v>
      </c>
      <c r="D147" s="48" t="s">
        <v>164</v>
      </c>
      <c r="E147" s="49" t="s">
        <v>998</v>
      </c>
      <c r="F147" s="50">
        <f t="shared" si="151"/>
        <v>0.97319134987478895</v>
      </c>
      <c r="G147" s="50" t="str">
        <f t="shared" ca="1" si="152"/>
        <v>No</v>
      </c>
      <c r="H147" s="51" t="str">
        <f t="shared" si="153"/>
        <v>Main - Genoa - Screacher - Spinnaker</v>
      </c>
      <c r="I147" s="52">
        <v>39499</v>
      </c>
      <c r="J147" s="52"/>
      <c r="K147" s="53" t="s">
        <v>153</v>
      </c>
      <c r="L147" s="53" t="s">
        <v>143</v>
      </c>
      <c r="M147" s="54"/>
      <c r="N147" s="55" t="s">
        <v>149</v>
      </c>
      <c r="O147" s="55"/>
      <c r="P147" s="56"/>
      <c r="Q147" s="57">
        <v>9.34</v>
      </c>
      <c r="R147" s="58"/>
      <c r="S147" s="59">
        <f t="shared" si="154"/>
        <v>0.23350000000000001</v>
      </c>
      <c r="T147" s="60">
        <v>0.12</v>
      </c>
      <c r="U147" s="60">
        <v>0</v>
      </c>
      <c r="V147" s="61">
        <f t="shared" si="155"/>
        <v>9.2200000000000006</v>
      </c>
      <c r="W147" s="62">
        <f>IF(RL&gt;0,IF(RL&gt;'Look Ups'!R$7,'Look Ups'!R$8,('Look Ups'!R$3*RL^3+'Look Ups'!R$4*RL^2+'Look Ups'!R$5*RL+'Look Ups'!R$6)),0)</f>
        <v>0.29714289578399999</v>
      </c>
      <c r="X147" s="326">
        <v>1754</v>
      </c>
      <c r="Y147" s="338"/>
      <c r="Z147" s="338"/>
      <c r="AA147" s="338"/>
      <c r="AB147" s="290">
        <f t="shared" si="156"/>
        <v>1754</v>
      </c>
      <c r="AC147" s="66">
        <f t="shared" si="157"/>
        <v>1754</v>
      </c>
      <c r="AD147" s="67" t="s">
        <v>129</v>
      </c>
      <c r="AE147" s="68" t="s">
        <v>130</v>
      </c>
      <c r="AF147" s="69" t="s">
        <v>131</v>
      </c>
      <c r="AG147" s="70">
        <f>IF(C147="",0,VLOOKUP(AD147,'Look Ups'!$B$3:$C$6,2,0)*VLOOKUP(AE147,'Look Ups'!$E$3:$F$5,2,0)*VLOOKUP(AF147,'Look Ups'!$H$3:$I$7,2,0))</f>
        <v>1</v>
      </c>
      <c r="AH147" s="71">
        <v>14.02</v>
      </c>
      <c r="AI147" s="60">
        <v>13.82</v>
      </c>
      <c r="AJ147" s="60">
        <v>3.86</v>
      </c>
      <c r="AK147" s="60">
        <v>1.44</v>
      </c>
      <c r="AL147" s="60">
        <v>0.43</v>
      </c>
      <c r="AM147" s="60">
        <v>14.13</v>
      </c>
      <c r="AN147" s="60">
        <v>0.14000000000000001</v>
      </c>
      <c r="AO147" s="60">
        <v>3.87</v>
      </c>
      <c r="AP147" s="60">
        <v>0.03</v>
      </c>
      <c r="AQ147" s="60">
        <v>0.62</v>
      </c>
      <c r="AR147" s="60" t="s">
        <v>132</v>
      </c>
      <c r="AS147" s="75"/>
      <c r="AT147" s="59">
        <f t="shared" si="158"/>
        <v>14.16</v>
      </c>
      <c r="AU147" s="59">
        <f t="shared" si="159"/>
        <v>3.2852250000000001</v>
      </c>
      <c r="AV147" s="72">
        <f>IF(C147="",0,(0.5*(_ML1*LPM)+0.5*(_ML1*HB)+0.66*(P*PR)+0.66*(_ML2*RDM)+0.66*(E*ER))*VLOOKUP(BATT,'Look Ups'!$N$3:$O$4,2,0))</f>
        <v>42.457354000000002</v>
      </c>
      <c r="AW147" s="73"/>
      <c r="AX147" s="74"/>
      <c r="AY147" s="71">
        <v>12.54</v>
      </c>
      <c r="AZ147" s="60">
        <v>3.2</v>
      </c>
      <c r="BA147" s="60">
        <v>3.43</v>
      </c>
      <c r="BB147" s="60">
        <v>0.15</v>
      </c>
      <c r="BC147" s="60">
        <v>11.75</v>
      </c>
      <c r="BD147" s="60"/>
      <c r="BE147" s="60"/>
      <c r="BF147" s="60">
        <v>0.16</v>
      </c>
      <c r="BG147" s="60">
        <v>0.05</v>
      </c>
      <c r="BH147" s="75" t="s">
        <v>165</v>
      </c>
      <c r="BI147" s="72">
        <f t="shared" si="160"/>
        <v>22.05819</v>
      </c>
      <c r="BJ147" s="76"/>
      <c r="BK147" s="77"/>
      <c r="BL147" s="78"/>
      <c r="BM147" s="78"/>
      <c r="BN147" s="77"/>
      <c r="BO147" s="78"/>
      <c r="BP147" s="78"/>
      <c r="BQ147" s="79">
        <f t="shared" si="161"/>
        <v>0</v>
      </c>
      <c r="BR147" s="80"/>
      <c r="BS147" s="77"/>
      <c r="BT147" s="77"/>
      <c r="BU147" s="77"/>
      <c r="BV147" s="77"/>
      <c r="BW147" s="77"/>
      <c r="BX147" s="77"/>
      <c r="BY147" s="72">
        <f t="shared" si="162"/>
        <v>0</v>
      </c>
      <c r="BZ147" s="351">
        <v>9.94</v>
      </c>
      <c r="CA147" s="352">
        <v>15.37</v>
      </c>
      <c r="CB147" s="352">
        <v>13.32</v>
      </c>
      <c r="CC147" s="352">
        <v>8.35</v>
      </c>
      <c r="CD147" s="65">
        <f t="shared" si="163"/>
        <v>84.00402414486922</v>
      </c>
      <c r="CE147" s="60"/>
      <c r="CF147" s="79">
        <f t="shared" si="164"/>
        <v>103.61871666666664</v>
      </c>
      <c r="CG147" s="71">
        <v>6.46</v>
      </c>
      <c r="CH147" s="60">
        <v>13.82</v>
      </c>
      <c r="CI147" s="60">
        <v>12.31</v>
      </c>
      <c r="CJ147" s="60">
        <v>3.26</v>
      </c>
      <c r="CK147" s="59">
        <f t="shared" si="181"/>
        <v>50.464396284829718</v>
      </c>
      <c r="CL147" s="60"/>
      <c r="CM147" s="72">
        <f t="shared" si="165"/>
        <v>42.46125</v>
      </c>
      <c r="CN147" s="81">
        <f t="shared" si="166"/>
        <v>1</v>
      </c>
      <c r="CO147" s="59">
        <f t="shared" si="167"/>
        <v>45.742578999999999</v>
      </c>
      <c r="CP147" s="59">
        <f t="shared" si="168"/>
        <v>1</v>
      </c>
      <c r="CQ147" s="59">
        <f t="shared" si="169"/>
        <v>22.05819</v>
      </c>
      <c r="CR147" s="59">
        <f>IF(AV147&gt;0,'Look Ups'!$L$3,0)</f>
        <v>1</v>
      </c>
      <c r="CS147" s="59">
        <f t="shared" si="170"/>
        <v>0</v>
      </c>
      <c r="CT147" s="59">
        <f t="shared" si="182"/>
        <v>0</v>
      </c>
      <c r="CU147" s="59">
        <f t="shared" si="183"/>
        <v>0</v>
      </c>
      <c r="CV147" s="79">
        <f t="shared" si="184"/>
        <v>0</v>
      </c>
      <c r="CW147" s="82" t="str">
        <f t="shared" si="171"/>
        <v>valid</v>
      </c>
      <c r="CX147" s="65" t="str">
        <f t="shared" si="172"/>
        <v>valid</v>
      </c>
      <c r="CY147" s="66" t="str">
        <f t="shared" si="173"/>
        <v>MGScrSp</v>
      </c>
      <c r="CZ147" s="81">
        <f t="shared" si="174"/>
        <v>67.800769000000003</v>
      </c>
      <c r="DA147" s="59">
        <f t="shared" si="175"/>
        <v>24.468157999999992</v>
      </c>
      <c r="DB147" s="59">
        <f t="shared" si="176"/>
        <v>7.1410709999999993</v>
      </c>
      <c r="DC147" s="59">
        <f t="shared" si="177"/>
        <v>24.060355366666659</v>
      </c>
      <c r="DD147" s="59">
        <f t="shared" si="178"/>
        <v>1.1221683</v>
      </c>
      <c r="DE147" s="79">
        <f t="shared" si="179"/>
        <v>70.358683012</v>
      </c>
      <c r="DF147" s="83">
        <f t="shared" si="180"/>
        <v>92.983292666666657</v>
      </c>
    </row>
    <row r="148" spans="2:110" ht="16.5" customHeight="1" x14ac:dyDescent="0.25">
      <c r="B148" s="47"/>
      <c r="C148" s="168" t="s">
        <v>561</v>
      </c>
      <c r="D148" s="169" t="s">
        <v>562</v>
      </c>
      <c r="E148" s="170" t="s">
        <v>563</v>
      </c>
      <c r="F148" s="50">
        <f t="shared" si="151"/>
        <v>0.72801234896412037</v>
      </c>
      <c r="G148" s="50" t="str">
        <f t="shared" ca="1" si="152"/>
        <v>No</v>
      </c>
      <c r="H148" s="51" t="str">
        <f t="shared" si="153"/>
        <v>Main - Genoa - Spinnaker</v>
      </c>
      <c r="I148" s="171">
        <v>36465</v>
      </c>
      <c r="J148" s="171"/>
      <c r="K148" s="172" t="s">
        <v>564</v>
      </c>
      <c r="L148" s="172" t="s">
        <v>390</v>
      </c>
      <c r="M148" s="171"/>
      <c r="N148" s="173" t="s">
        <v>149</v>
      </c>
      <c r="O148" s="173"/>
      <c r="P148" s="174">
        <v>6.55</v>
      </c>
      <c r="Q148" s="175">
        <v>13.17</v>
      </c>
      <c r="R148" s="78"/>
      <c r="S148" s="59">
        <f t="shared" si="154"/>
        <v>0.32925000000000004</v>
      </c>
      <c r="T148" s="176">
        <v>0.96</v>
      </c>
      <c r="U148" s="176">
        <v>0</v>
      </c>
      <c r="V148" s="61">
        <f t="shared" si="155"/>
        <v>12.21</v>
      </c>
      <c r="W148" s="62">
        <f>IF(RL&gt;0,IF(RL&gt;'Look Ups'!R$7,'Look Ups'!R$8,('Look Ups'!R$3*RL^3+'Look Ups'!R$4*RL^2+'Look Ups'!R$5*RL+'Look Ups'!R$6)),0)</f>
        <v>0.3</v>
      </c>
      <c r="X148" s="304">
        <v>6823</v>
      </c>
      <c r="Y148" s="337">
        <v>0</v>
      </c>
      <c r="Z148" s="337"/>
      <c r="AA148" s="337"/>
      <c r="AB148" s="290">
        <f t="shared" si="156"/>
        <v>6823</v>
      </c>
      <c r="AC148" s="66">
        <f t="shared" si="157"/>
        <v>6823</v>
      </c>
      <c r="AD148" s="179" t="s">
        <v>129</v>
      </c>
      <c r="AE148" s="180" t="s">
        <v>130</v>
      </c>
      <c r="AF148" s="181" t="s">
        <v>131</v>
      </c>
      <c r="AG148" s="70">
        <f>IF(C148="",0,VLOOKUP(AD148,'Look Ups'!$B$3:$C$6,2,0)*VLOOKUP(AE148,'Look Ups'!$E$3:$F$5,2,0)*VLOOKUP(AF148,'Look Ups'!$H$3:$I$7,2,0))</f>
        <v>1</v>
      </c>
      <c r="AH148" s="80">
        <v>15.3</v>
      </c>
      <c r="AI148" s="77">
        <v>15.275</v>
      </c>
      <c r="AJ148" s="77">
        <v>4.2</v>
      </c>
      <c r="AK148" s="77">
        <v>0.125</v>
      </c>
      <c r="AL148" s="77">
        <v>0.247</v>
      </c>
      <c r="AM148" s="77">
        <v>14.85</v>
      </c>
      <c r="AN148" s="77">
        <v>9.5000000000000001E-2</v>
      </c>
      <c r="AO148" s="77">
        <v>4.4000000000000004</v>
      </c>
      <c r="AP148" s="77">
        <v>7.4999999999999997E-2</v>
      </c>
      <c r="AQ148" s="77">
        <v>0</v>
      </c>
      <c r="AR148" s="77" t="s">
        <v>132</v>
      </c>
      <c r="AS148" s="87">
        <v>0</v>
      </c>
      <c r="AT148" s="59">
        <f t="shared" si="158"/>
        <v>14.924999999999999</v>
      </c>
      <c r="AU148" s="59">
        <f t="shared" si="159"/>
        <v>0</v>
      </c>
      <c r="AV148" s="72">
        <f>IF(C148="",0,(0.5*(_ML1*LPM)+0.5*(_ML1*HB)+0.66*(P*PR)+0.66*(_ML2*RDM)+0.66*(E*ER))*VLOOKUP(BATT,'Look Ups'!$N$3:$O$4,2,0))</f>
        <v>36.725275499999995</v>
      </c>
      <c r="AW148" s="182"/>
      <c r="AX148" s="183"/>
      <c r="AY148" s="80">
        <v>16.7</v>
      </c>
      <c r="AZ148" s="77">
        <v>6.65</v>
      </c>
      <c r="BA148" s="77">
        <v>7.1</v>
      </c>
      <c r="BB148" s="77">
        <v>0.14000000000000001</v>
      </c>
      <c r="BC148" s="77">
        <v>15.6</v>
      </c>
      <c r="BD148" s="77"/>
      <c r="BE148" s="77"/>
      <c r="BF148" s="77">
        <v>-0.46500000000000002</v>
      </c>
      <c r="BG148" s="77">
        <v>-0.25</v>
      </c>
      <c r="BH148" s="87"/>
      <c r="BI148" s="72">
        <f t="shared" si="160"/>
        <v>48.6404</v>
      </c>
      <c r="BJ148" s="76"/>
      <c r="BK148" s="77"/>
      <c r="BL148" s="78"/>
      <c r="BM148" s="78"/>
      <c r="BN148" s="77"/>
      <c r="BO148" s="78"/>
      <c r="BP148" s="78"/>
      <c r="BQ148" s="79">
        <f t="shared" si="161"/>
        <v>0</v>
      </c>
      <c r="BR148" s="80"/>
      <c r="BS148" s="77"/>
      <c r="BT148" s="77"/>
      <c r="BU148" s="77"/>
      <c r="BV148" s="77"/>
      <c r="BW148" s="77"/>
      <c r="BX148" s="77"/>
      <c r="BY148" s="72">
        <f t="shared" si="162"/>
        <v>0</v>
      </c>
      <c r="BZ148" s="182">
        <v>9.19</v>
      </c>
      <c r="CA148" s="77">
        <v>17.5</v>
      </c>
      <c r="CB148" s="77">
        <v>15.86</v>
      </c>
      <c r="CC148" s="77">
        <v>8.92</v>
      </c>
      <c r="CD148" s="65">
        <f t="shared" si="163"/>
        <v>97.062023939064204</v>
      </c>
      <c r="CE148" s="77">
        <v>0</v>
      </c>
      <c r="CF148" s="79">
        <f t="shared" si="164"/>
        <v>124.73859999999999</v>
      </c>
      <c r="CG148" s="80"/>
      <c r="CH148" s="77"/>
      <c r="CI148" s="77"/>
      <c r="CJ148" s="77"/>
      <c r="CK148" s="59" t="str">
        <f t="shared" si="181"/>
        <v/>
      </c>
      <c r="CL148" s="77">
        <v>0</v>
      </c>
      <c r="CM148" s="72">
        <f t="shared" si="165"/>
        <v>0</v>
      </c>
      <c r="CN148" s="81">
        <f t="shared" si="166"/>
        <v>1</v>
      </c>
      <c r="CO148" s="59">
        <f t="shared" si="167"/>
        <v>36.725275499999995</v>
      </c>
      <c r="CP148" s="59">
        <f t="shared" si="168"/>
        <v>1</v>
      </c>
      <c r="CQ148" s="59">
        <f t="shared" si="169"/>
        <v>48.6404</v>
      </c>
      <c r="CR148" s="59">
        <f>IF(AV148&gt;0,'Look Ups'!$L$3,0)</f>
        <v>1</v>
      </c>
      <c r="CS148" s="59">
        <f t="shared" si="170"/>
        <v>0</v>
      </c>
      <c r="CT148" s="59">
        <f t="shared" si="182"/>
        <v>0</v>
      </c>
      <c r="CU148" s="59">
        <f t="shared" si="183"/>
        <v>0</v>
      </c>
      <c r="CV148" s="79">
        <f t="shared" si="184"/>
        <v>0</v>
      </c>
      <c r="CW148" s="82" t="str">
        <f t="shared" si="171"/>
        <v>-</v>
      </c>
      <c r="CX148" s="65" t="str">
        <f t="shared" si="172"/>
        <v>valid</v>
      </c>
      <c r="CY148" s="66" t="str">
        <f t="shared" si="173"/>
        <v>MGSp</v>
      </c>
      <c r="CZ148" s="81">
        <f t="shared" si="174"/>
        <v>85.365675499999995</v>
      </c>
      <c r="DA148" s="59">
        <f t="shared" si="175"/>
        <v>22.829459999999997</v>
      </c>
      <c r="DB148" s="59">
        <f t="shared" si="176"/>
        <v>0</v>
      </c>
      <c r="DC148" s="59">
        <f t="shared" si="177"/>
        <v>22.448968999999995</v>
      </c>
      <c r="DD148" s="59">
        <f t="shared" si="178"/>
        <v>0</v>
      </c>
      <c r="DE148" s="79">
        <f t="shared" si="179"/>
        <v>84.078842053999992</v>
      </c>
      <c r="DF148" s="83">
        <f t="shared" si="180"/>
        <v>108.19513549999999</v>
      </c>
    </row>
    <row r="149" spans="2:110" ht="16.5" customHeight="1" x14ac:dyDescent="0.25">
      <c r="B149" s="168"/>
      <c r="C149" s="168" t="s">
        <v>565</v>
      </c>
      <c r="D149" s="169" t="s">
        <v>566</v>
      </c>
      <c r="E149" s="170" t="s">
        <v>567</v>
      </c>
      <c r="F149" s="50">
        <f t="shared" si="151"/>
        <v>0</v>
      </c>
      <c r="G149" s="50">
        <f t="shared" ca="1" si="152"/>
        <v>0</v>
      </c>
      <c r="H149" s="51" t="e">
        <f t="shared" si="153"/>
        <v>#N/A</v>
      </c>
      <c r="I149" s="171">
        <v>39739</v>
      </c>
      <c r="J149" s="171">
        <v>39748</v>
      </c>
      <c r="K149" s="172" t="s">
        <v>205</v>
      </c>
      <c r="L149" s="172" t="s">
        <v>143</v>
      </c>
      <c r="M149" s="171"/>
      <c r="N149" s="173" t="s">
        <v>537</v>
      </c>
      <c r="O149" s="173"/>
      <c r="P149" s="186"/>
      <c r="Q149" s="175"/>
      <c r="R149" s="78"/>
      <c r="S149" s="59">
        <f t="shared" si="154"/>
        <v>0</v>
      </c>
      <c r="T149" s="176"/>
      <c r="U149" s="176"/>
      <c r="V149" s="61">
        <f t="shared" si="155"/>
        <v>0</v>
      </c>
      <c r="W149" s="62">
        <f>IF(RL&gt;0,IF(RL&gt;'Look Ups'!R$7,'Look Ups'!R$8,('Look Ups'!R$3*RL^3+'Look Ups'!R$4*RL^2+'Look Ups'!R$5*RL+'Look Ups'!R$6)),0)</f>
        <v>0</v>
      </c>
      <c r="X149" s="304"/>
      <c r="Y149" s="337"/>
      <c r="Z149" s="337"/>
      <c r="AA149" s="337"/>
      <c r="AB149" s="290">
        <f t="shared" si="156"/>
        <v>0</v>
      </c>
      <c r="AC149" s="66">
        <f t="shared" si="157"/>
        <v>0</v>
      </c>
      <c r="AD149" s="179" t="s">
        <v>129</v>
      </c>
      <c r="AE149" s="180" t="s">
        <v>130</v>
      </c>
      <c r="AF149" s="181" t="s">
        <v>131</v>
      </c>
      <c r="AG149" s="70">
        <f>IF(C149="",0,VLOOKUP(AD149,'Look Ups'!$B$3:$C$6,2,0)*VLOOKUP(AE149,'Look Ups'!$E$3:$F$5,2,0)*VLOOKUP(AF149,'Look Ups'!$H$3:$I$7,2,0))</f>
        <v>1</v>
      </c>
      <c r="AH149" s="80"/>
      <c r="AI149" s="77"/>
      <c r="AJ149" s="77"/>
      <c r="AK149" s="77"/>
      <c r="AL149" s="77"/>
      <c r="AM149" s="77"/>
      <c r="AN149" s="77"/>
      <c r="AO149" s="77"/>
      <c r="AP149" s="77"/>
      <c r="AQ149" s="77"/>
      <c r="AR149" s="77"/>
      <c r="AS149" s="87"/>
      <c r="AT149" s="59">
        <f t="shared" si="158"/>
        <v>0</v>
      </c>
      <c r="AU149" s="59">
        <f t="shared" si="159"/>
        <v>0</v>
      </c>
      <c r="AV149" s="72" t="e">
        <f>IF(C149="",0,(0.5*(_ML1*LPM)+0.5*(_ML1*HB)+0.66*(P*PR)+0.66*(_ML2*RDM)+0.66*(E*ER))*VLOOKUP(BATT,'Look Ups'!$N$3:$O$4,2,0))</f>
        <v>#N/A</v>
      </c>
      <c r="AW149" s="182"/>
      <c r="AX149" s="183"/>
      <c r="AY149" s="80">
        <v>10.33</v>
      </c>
      <c r="AZ149" s="77">
        <v>3.81</v>
      </c>
      <c r="BA149" s="77">
        <v>4.2</v>
      </c>
      <c r="BB149" s="77">
        <v>0.15</v>
      </c>
      <c r="BC149" s="77">
        <v>9.4</v>
      </c>
      <c r="BD149" s="77"/>
      <c r="BE149" s="77"/>
      <c r="BF149" s="77">
        <v>-0.06</v>
      </c>
      <c r="BG149" s="77">
        <v>0.01</v>
      </c>
      <c r="BH149" s="87"/>
      <c r="BI149" s="72">
        <f t="shared" si="160"/>
        <v>19.790388</v>
      </c>
      <c r="BJ149" s="76"/>
      <c r="BK149" s="77"/>
      <c r="BL149" s="78"/>
      <c r="BM149" s="78"/>
      <c r="BN149" s="77"/>
      <c r="BO149" s="78"/>
      <c r="BP149" s="78"/>
      <c r="BQ149" s="79">
        <f t="shared" si="161"/>
        <v>0</v>
      </c>
      <c r="BR149" s="80"/>
      <c r="BS149" s="77"/>
      <c r="BT149" s="77"/>
      <c r="BU149" s="77"/>
      <c r="BV149" s="77"/>
      <c r="BW149" s="77"/>
      <c r="BX149" s="77"/>
      <c r="BY149" s="72">
        <f t="shared" si="162"/>
        <v>0</v>
      </c>
      <c r="BZ149" s="182">
        <v>7.33</v>
      </c>
      <c r="CA149" s="77">
        <v>12.1</v>
      </c>
      <c r="CB149" s="77">
        <v>10.1</v>
      </c>
      <c r="CC149" s="77">
        <v>6.6</v>
      </c>
      <c r="CD149" s="65">
        <f t="shared" si="163"/>
        <v>90.040927694406548</v>
      </c>
      <c r="CE149" s="77"/>
      <c r="CF149" s="79">
        <f t="shared" si="164"/>
        <v>62.400499999999994</v>
      </c>
      <c r="CG149" s="80">
        <v>6.96</v>
      </c>
      <c r="CH149" s="77">
        <v>11.34</v>
      </c>
      <c r="CI149" s="77">
        <v>10.09</v>
      </c>
      <c r="CJ149" s="77">
        <v>3.52</v>
      </c>
      <c r="CK149" s="59">
        <f t="shared" si="181"/>
        <v>50.574712643678168</v>
      </c>
      <c r="CL149" s="77"/>
      <c r="CM149" s="72">
        <f t="shared" si="165"/>
        <v>37.573933333333329</v>
      </c>
      <c r="CN149" s="81" t="e">
        <f t="shared" si="166"/>
        <v>#N/A</v>
      </c>
      <c r="CO149" s="59" t="e">
        <f t="shared" si="167"/>
        <v>#N/A</v>
      </c>
      <c r="CP149" s="59" t="e">
        <f t="shared" si="168"/>
        <v>#N/A</v>
      </c>
      <c r="CQ149" s="59" t="e">
        <f t="shared" si="169"/>
        <v>#N/A</v>
      </c>
      <c r="CR149" s="59" t="e">
        <f>IF(AV149&gt;0,'Look Ups'!$L$3,0)</f>
        <v>#N/A</v>
      </c>
      <c r="CS149" s="59">
        <f t="shared" si="170"/>
        <v>0</v>
      </c>
      <c r="CT149" s="59">
        <f t="shared" si="182"/>
        <v>0</v>
      </c>
      <c r="CU149" s="59">
        <f t="shared" si="183"/>
        <v>0</v>
      </c>
      <c r="CV149" s="79">
        <f t="shared" si="184"/>
        <v>0</v>
      </c>
      <c r="CW149" s="82" t="str">
        <f t="shared" si="171"/>
        <v>valid</v>
      </c>
      <c r="CX149" s="65" t="e">
        <f t="shared" si="172"/>
        <v>#N/A</v>
      </c>
      <c r="CY149" s="66" t="e">
        <f t="shared" si="173"/>
        <v>#N/A</v>
      </c>
      <c r="CZ149" s="81" t="e">
        <f t="shared" si="174"/>
        <v>#N/A</v>
      </c>
      <c r="DA149" s="59" t="e">
        <f t="shared" si="175"/>
        <v>#N/A</v>
      </c>
      <c r="DB149" s="59" t="e">
        <f t="shared" si="176"/>
        <v>#N/A</v>
      </c>
      <c r="DC149" s="59" t="e">
        <f t="shared" si="177"/>
        <v>#N/A</v>
      </c>
      <c r="DD149" s="59" t="e">
        <f t="shared" si="178"/>
        <v>#N/A</v>
      </c>
      <c r="DE149" s="79" t="e">
        <f t="shared" si="179"/>
        <v>#N/A</v>
      </c>
      <c r="DF149" s="83" t="e">
        <f t="shared" si="180"/>
        <v>#N/A</v>
      </c>
    </row>
    <row r="150" spans="2:110" ht="16.5" customHeight="1" x14ac:dyDescent="0.25">
      <c r="B150" s="168"/>
      <c r="C150" s="47" t="s">
        <v>176</v>
      </c>
      <c r="D150" s="84" t="s">
        <v>177</v>
      </c>
      <c r="E150" s="49" t="s">
        <v>178</v>
      </c>
      <c r="F150" s="50">
        <f t="shared" si="151"/>
        <v>0.76033222774013431</v>
      </c>
      <c r="G150" s="50" t="str">
        <f t="shared" ca="1" si="152"/>
        <v>No</v>
      </c>
      <c r="H150" s="51" t="str">
        <f t="shared" si="153"/>
        <v>Main - Genoa - Spinnaker</v>
      </c>
      <c r="I150" s="52">
        <v>40502</v>
      </c>
      <c r="J150" s="52">
        <v>40504</v>
      </c>
      <c r="K150" s="53" t="s">
        <v>179</v>
      </c>
      <c r="L150" s="53" t="s">
        <v>180</v>
      </c>
      <c r="M150" s="54"/>
      <c r="N150" s="75" t="s">
        <v>149</v>
      </c>
      <c r="O150" s="75" t="s">
        <v>138</v>
      </c>
      <c r="P150" s="85"/>
      <c r="Q150" s="57">
        <v>5.92</v>
      </c>
      <c r="R150" s="58"/>
      <c r="S150" s="59">
        <f t="shared" si="154"/>
        <v>0.14799999999999999</v>
      </c>
      <c r="T150" s="60">
        <v>0.43</v>
      </c>
      <c r="U150" s="60">
        <v>0</v>
      </c>
      <c r="V150" s="61">
        <f t="shared" si="155"/>
        <v>5.49</v>
      </c>
      <c r="W150" s="62">
        <f>IF(RL&gt;0,IF(RL&gt;'Look Ups'!R$7,'Look Ups'!R$8,('Look Ups'!R$3*RL^3+'Look Ups'!R$4*RL^2+'Look Ups'!R$5*RL+'Look Ups'!R$6)),0)</f>
        <v>0.28081934191699998</v>
      </c>
      <c r="X150" s="256">
        <v>500</v>
      </c>
      <c r="Y150" s="338"/>
      <c r="Z150" s="338"/>
      <c r="AA150" s="338"/>
      <c r="AB150" s="290">
        <f t="shared" si="156"/>
        <v>500</v>
      </c>
      <c r="AC150" s="66">
        <f t="shared" si="157"/>
        <v>500</v>
      </c>
      <c r="AD150" s="67" t="s">
        <v>129</v>
      </c>
      <c r="AE150" s="68" t="s">
        <v>130</v>
      </c>
      <c r="AF150" s="69" t="s">
        <v>131</v>
      </c>
      <c r="AG150" s="70">
        <f>IF(C150="",0,VLOOKUP(AD150,'Look Ups'!$B$3:$C$6,2,0)*VLOOKUP(AE150,'Look Ups'!$E$3:$F$5,2,0)*VLOOKUP(AF150,'Look Ups'!$H$3:$I$7,2,0))</f>
        <v>1</v>
      </c>
      <c r="AH150" s="71">
        <v>8.0399999999999991</v>
      </c>
      <c r="AI150" s="60">
        <v>7.85</v>
      </c>
      <c r="AJ150" s="60">
        <v>2.4300000000000002</v>
      </c>
      <c r="AK150" s="60">
        <v>0.55500000000000005</v>
      </c>
      <c r="AL150" s="60">
        <v>0.185</v>
      </c>
      <c r="AM150" s="60">
        <v>7.92</v>
      </c>
      <c r="AN150" s="60">
        <v>0.1</v>
      </c>
      <c r="AO150" s="60">
        <v>2.92</v>
      </c>
      <c r="AP150" s="60">
        <v>0</v>
      </c>
      <c r="AQ150" s="60">
        <v>0.13</v>
      </c>
      <c r="AR150" s="60" t="s">
        <v>132</v>
      </c>
      <c r="AS150" s="75">
        <v>0</v>
      </c>
      <c r="AT150" s="59">
        <f t="shared" si="158"/>
        <v>7.92</v>
      </c>
      <c r="AU150" s="59">
        <f t="shared" si="159"/>
        <v>0.3861</v>
      </c>
      <c r="AV150" s="72">
        <f>IF(C150="",0,(0.5*(_ML1*LPM)+0.5*(_ML1*HB)+0.66*(P*PR)+0.66*(_ML2*RDM)+0.66*(E*ER))*VLOOKUP(BATT,'Look Ups'!$N$3:$O$4,2,0))</f>
        <v>13.480904999999998</v>
      </c>
      <c r="AW150" s="73"/>
      <c r="AX150" s="74"/>
      <c r="AY150" s="71">
        <v>5.34</v>
      </c>
      <c r="AZ150" s="60">
        <v>1.7650000000000001</v>
      </c>
      <c r="BA150" s="60">
        <v>1.92</v>
      </c>
      <c r="BB150" s="60">
        <v>0.105</v>
      </c>
      <c r="BC150" s="60">
        <v>4.82</v>
      </c>
      <c r="BD150" s="60"/>
      <c r="BE150" s="60"/>
      <c r="BF150" s="60">
        <v>0.06</v>
      </c>
      <c r="BG150" s="60">
        <v>0.04</v>
      </c>
      <c r="BH150" s="75">
        <v>0</v>
      </c>
      <c r="BI150" s="72">
        <f t="shared" si="160"/>
        <v>5.177454</v>
      </c>
      <c r="BJ150" s="76"/>
      <c r="BK150" s="77"/>
      <c r="BL150" s="78"/>
      <c r="BM150" s="78"/>
      <c r="BN150" s="77"/>
      <c r="BO150" s="78"/>
      <c r="BP150" s="78"/>
      <c r="BQ150" s="79">
        <f t="shared" si="161"/>
        <v>0</v>
      </c>
      <c r="BR150" s="80"/>
      <c r="BS150" s="77"/>
      <c r="BT150" s="77"/>
      <c r="BU150" s="77"/>
      <c r="BV150" s="77"/>
      <c r="BW150" s="77"/>
      <c r="BX150" s="77"/>
      <c r="BY150" s="72">
        <f t="shared" si="162"/>
        <v>0</v>
      </c>
      <c r="BZ150" s="73">
        <v>5.26</v>
      </c>
      <c r="CA150" s="60">
        <v>9.3699999999999992</v>
      </c>
      <c r="CB150" s="60">
        <v>7.78</v>
      </c>
      <c r="CC150" s="60">
        <v>5.1100000000000003</v>
      </c>
      <c r="CD150" s="65">
        <f t="shared" si="163"/>
        <v>97.148288973384041</v>
      </c>
      <c r="CE150" s="75">
        <v>0</v>
      </c>
      <c r="CF150" s="79">
        <f t="shared" si="164"/>
        <v>36.729583333333331</v>
      </c>
      <c r="CG150" s="71"/>
      <c r="CH150" s="60"/>
      <c r="CI150" s="60"/>
      <c r="CJ150" s="60"/>
      <c r="CK150" s="59" t="str">
        <f t="shared" si="181"/>
        <v/>
      </c>
      <c r="CL150" s="75">
        <v>0</v>
      </c>
      <c r="CM150" s="72">
        <f t="shared" si="165"/>
        <v>0</v>
      </c>
      <c r="CN150" s="81">
        <f t="shared" si="166"/>
        <v>1</v>
      </c>
      <c r="CO150" s="59">
        <f t="shared" si="167"/>
        <v>13.867004999999999</v>
      </c>
      <c r="CP150" s="59">
        <f t="shared" si="168"/>
        <v>1</v>
      </c>
      <c r="CQ150" s="59">
        <f t="shared" si="169"/>
        <v>5.177454</v>
      </c>
      <c r="CR150" s="59">
        <f>IF(AV150&gt;0,'Look Ups'!$L$3,0)</f>
        <v>1</v>
      </c>
      <c r="CS150" s="59">
        <f t="shared" si="170"/>
        <v>0</v>
      </c>
      <c r="CT150" s="59">
        <f t="shared" si="182"/>
        <v>0</v>
      </c>
      <c r="CU150" s="59">
        <f t="shared" si="183"/>
        <v>0</v>
      </c>
      <c r="CV150" s="79">
        <f t="shared" si="184"/>
        <v>0</v>
      </c>
      <c r="CW150" s="82" t="str">
        <f t="shared" si="171"/>
        <v>-</v>
      </c>
      <c r="CX150" s="65" t="str">
        <f t="shared" si="172"/>
        <v>valid</v>
      </c>
      <c r="CY150" s="66" t="str">
        <f t="shared" si="173"/>
        <v>MGSp</v>
      </c>
      <c r="CZ150" s="81">
        <f t="shared" si="174"/>
        <v>19.044459</v>
      </c>
      <c r="DA150" s="59">
        <f t="shared" si="175"/>
        <v>9.4656387999999989</v>
      </c>
      <c r="DB150" s="59">
        <f t="shared" si="176"/>
        <v>0</v>
      </c>
      <c r="DC150" s="59">
        <f t="shared" si="177"/>
        <v>9.3078781533333323</v>
      </c>
      <c r="DD150" s="59">
        <f t="shared" si="178"/>
        <v>0</v>
      </c>
      <c r="DE150" s="79">
        <f t="shared" si="179"/>
        <v>19.982930507999999</v>
      </c>
      <c r="DF150" s="83">
        <f t="shared" si="180"/>
        <v>28.510097799999997</v>
      </c>
    </row>
    <row r="151" spans="2:110" ht="16.5" customHeight="1" x14ac:dyDescent="0.25">
      <c r="B151" s="47"/>
      <c r="C151" s="168" t="s">
        <v>568</v>
      </c>
      <c r="D151" s="169" t="s">
        <v>569</v>
      </c>
      <c r="E151" s="170" t="s">
        <v>570</v>
      </c>
      <c r="F151" s="50">
        <f t="shared" si="151"/>
        <v>0.88501947184903307</v>
      </c>
      <c r="G151" s="50" t="str">
        <f t="shared" ca="1" si="152"/>
        <v>No</v>
      </c>
      <c r="H151" s="51" t="str">
        <f t="shared" si="153"/>
        <v>Main - Genoa - Spinnaker</v>
      </c>
      <c r="I151" s="171">
        <v>37878</v>
      </c>
      <c r="J151" s="171"/>
      <c r="K151" s="172" t="s">
        <v>571</v>
      </c>
      <c r="L151" s="172" t="s">
        <v>387</v>
      </c>
      <c r="M151" s="171"/>
      <c r="N151" s="173" t="s">
        <v>537</v>
      </c>
      <c r="O151" s="173"/>
      <c r="P151" s="174">
        <v>6.84</v>
      </c>
      <c r="Q151" s="175">
        <v>9.6199999999999992</v>
      </c>
      <c r="R151" s="78"/>
      <c r="S151" s="59">
        <f t="shared" si="154"/>
        <v>0.24049999999999999</v>
      </c>
      <c r="T151" s="176">
        <v>0.12</v>
      </c>
      <c r="U151" s="176">
        <v>0</v>
      </c>
      <c r="V151" s="61">
        <f t="shared" si="155"/>
        <v>9.5</v>
      </c>
      <c r="W151" s="62">
        <f>IF(RL&gt;0,IF(RL&gt;'Look Ups'!R$7,'Look Ups'!R$8,('Look Ups'!R$3*RL^3+'Look Ups'!R$4*RL^2+'Look Ups'!R$5*RL+'Look Ups'!R$6)),0)</f>
        <v>0.29769337500000004</v>
      </c>
      <c r="X151" s="304">
        <v>2180</v>
      </c>
      <c r="Y151" s="337"/>
      <c r="Z151" s="337"/>
      <c r="AA151" s="337"/>
      <c r="AB151" s="290">
        <f t="shared" si="156"/>
        <v>2180</v>
      </c>
      <c r="AC151" s="66">
        <f t="shared" si="157"/>
        <v>2180</v>
      </c>
      <c r="AD151" s="179" t="s">
        <v>129</v>
      </c>
      <c r="AE151" s="180" t="s">
        <v>130</v>
      </c>
      <c r="AF151" s="181" t="s">
        <v>131</v>
      </c>
      <c r="AG151" s="70">
        <f>IF(C151="",0,VLOOKUP(AD151,'Look Ups'!$B$3:$C$6,2,0)*VLOOKUP(AE151,'Look Ups'!$E$3:$F$5,2,0)*VLOOKUP(AF151,'Look Ups'!$H$3:$I$7,2,0))</f>
        <v>1</v>
      </c>
      <c r="AH151" s="80">
        <v>11.82</v>
      </c>
      <c r="AI151" s="77">
        <v>11.38</v>
      </c>
      <c r="AJ151" s="77">
        <v>4.01</v>
      </c>
      <c r="AK151" s="77">
        <v>1.36</v>
      </c>
      <c r="AL151" s="77">
        <v>0.98</v>
      </c>
      <c r="AM151" s="77">
        <v>11.81</v>
      </c>
      <c r="AN151" s="77">
        <v>0.08</v>
      </c>
      <c r="AO151" s="77">
        <v>4.28</v>
      </c>
      <c r="AP151" s="77">
        <v>0.03</v>
      </c>
      <c r="AQ151" s="77">
        <v>0.4</v>
      </c>
      <c r="AR151" s="77" t="s">
        <v>132</v>
      </c>
      <c r="AS151" s="87">
        <v>0</v>
      </c>
      <c r="AT151" s="59">
        <f t="shared" si="158"/>
        <v>11.84</v>
      </c>
      <c r="AU151" s="59">
        <f t="shared" si="159"/>
        <v>1.7715000000000001</v>
      </c>
      <c r="AV151" s="72">
        <f>IF(C151="",0,(0.5*(_ML1*LPM)+0.5*(_ML1*HB)+0.66*(P*PR)+0.66*(_ML2*RDM)+0.66*(E*ER))*VLOOKUP(BATT,'Look Ups'!$N$3:$O$4,2,0))</f>
        <v>39.805596000000001</v>
      </c>
      <c r="AW151" s="182"/>
      <c r="AX151" s="183"/>
      <c r="AY151" s="80">
        <v>10.24</v>
      </c>
      <c r="AZ151" s="77">
        <v>4.8899999999999997</v>
      </c>
      <c r="BA151" s="77">
        <v>5.21</v>
      </c>
      <c r="BB151" s="77">
        <v>7.0000000000000007E-2</v>
      </c>
      <c r="BC151" s="77">
        <v>9.58</v>
      </c>
      <c r="BD151" s="77"/>
      <c r="BE151" s="77"/>
      <c r="BF151" s="77">
        <v>-0.15</v>
      </c>
      <c r="BG151" s="77">
        <v>0</v>
      </c>
      <c r="BH151" s="87"/>
      <c r="BI151" s="72">
        <f t="shared" si="160"/>
        <v>24.329082</v>
      </c>
      <c r="BJ151" s="76"/>
      <c r="BK151" s="77"/>
      <c r="BL151" s="78"/>
      <c r="BM151" s="78"/>
      <c r="BN151" s="77"/>
      <c r="BO151" s="78"/>
      <c r="BP151" s="78"/>
      <c r="BQ151" s="79">
        <f t="shared" si="161"/>
        <v>0</v>
      </c>
      <c r="BR151" s="80"/>
      <c r="BS151" s="77"/>
      <c r="BT151" s="77"/>
      <c r="BU151" s="77"/>
      <c r="BV151" s="77"/>
      <c r="BW151" s="77"/>
      <c r="BX151" s="77"/>
      <c r="BY151" s="72">
        <f t="shared" si="162"/>
        <v>0</v>
      </c>
      <c r="BZ151" s="182">
        <v>8.5500000000000007</v>
      </c>
      <c r="CA151" s="77">
        <v>13.34</v>
      </c>
      <c r="CB151" s="77">
        <v>11.86</v>
      </c>
      <c r="CC151" s="77">
        <v>8.4600000000000009</v>
      </c>
      <c r="CD151" s="65">
        <f t="shared" si="163"/>
        <v>98.94736842105263</v>
      </c>
      <c r="CE151" s="77">
        <v>0</v>
      </c>
      <c r="CF151" s="79">
        <f t="shared" si="164"/>
        <v>89.019000000000005</v>
      </c>
      <c r="CG151" s="80"/>
      <c r="CH151" s="77"/>
      <c r="CI151" s="77"/>
      <c r="CJ151" s="77"/>
      <c r="CK151" s="59" t="str">
        <f t="shared" si="181"/>
        <v/>
      </c>
      <c r="CL151" s="77">
        <v>0</v>
      </c>
      <c r="CM151" s="72">
        <f t="shared" si="165"/>
        <v>0</v>
      </c>
      <c r="CN151" s="81">
        <f t="shared" si="166"/>
        <v>1</v>
      </c>
      <c r="CO151" s="59">
        <f t="shared" si="167"/>
        <v>41.577096000000004</v>
      </c>
      <c r="CP151" s="59">
        <f t="shared" si="168"/>
        <v>1</v>
      </c>
      <c r="CQ151" s="59">
        <f t="shared" si="169"/>
        <v>24.329082</v>
      </c>
      <c r="CR151" s="59">
        <f>IF(AV151&gt;0,'Look Ups'!$L$3,0)</f>
        <v>1</v>
      </c>
      <c r="CS151" s="59">
        <f t="shared" si="170"/>
        <v>0</v>
      </c>
      <c r="CT151" s="59">
        <f t="shared" si="182"/>
        <v>0</v>
      </c>
      <c r="CU151" s="59">
        <f t="shared" si="183"/>
        <v>0</v>
      </c>
      <c r="CV151" s="79">
        <f t="shared" si="184"/>
        <v>0</v>
      </c>
      <c r="CW151" s="82" t="str">
        <f t="shared" si="171"/>
        <v>-</v>
      </c>
      <c r="CX151" s="65" t="str">
        <f t="shared" si="172"/>
        <v>valid</v>
      </c>
      <c r="CY151" s="66" t="str">
        <f t="shared" si="173"/>
        <v>MGSp</v>
      </c>
      <c r="CZ151" s="81">
        <f t="shared" si="174"/>
        <v>65.906178000000011</v>
      </c>
      <c r="DA151" s="59">
        <f t="shared" si="175"/>
        <v>19.4069754</v>
      </c>
      <c r="DB151" s="59">
        <f t="shared" si="176"/>
        <v>0</v>
      </c>
      <c r="DC151" s="59">
        <f t="shared" si="177"/>
        <v>19.083525810000001</v>
      </c>
      <c r="DD151" s="59">
        <f t="shared" si="178"/>
        <v>0</v>
      </c>
      <c r="DE151" s="79">
        <f t="shared" si="179"/>
        <v>67.768963512000013</v>
      </c>
      <c r="DF151" s="83">
        <f t="shared" si="180"/>
        <v>85.313153400000004</v>
      </c>
    </row>
    <row r="152" spans="2:110" ht="16.5" customHeight="1" x14ac:dyDescent="0.25">
      <c r="B152" s="168"/>
      <c r="C152" s="47" t="s">
        <v>181</v>
      </c>
      <c r="D152" s="48" t="s">
        <v>182</v>
      </c>
      <c r="E152" s="49" t="s">
        <v>183</v>
      </c>
      <c r="F152" s="50">
        <f t="shared" si="151"/>
        <v>0.86219331624302531</v>
      </c>
      <c r="G152" s="50" t="str">
        <f t="shared" ca="1" si="152"/>
        <v>No</v>
      </c>
      <c r="H152" s="51" t="str">
        <f t="shared" si="153"/>
        <v>Main - Genoa - Screacher - Spinnaker</v>
      </c>
      <c r="I152" s="52">
        <v>40643</v>
      </c>
      <c r="J152" s="52"/>
      <c r="K152" s="53" t="s">
        <v>160</v>
      </c>
      <c r="L152" s="53" t="s">
        <v>148</v>
      </c>
      <c r="M152" s="54"/>
      <c r="N152" s="55" t="s">
        <v>149</v>
      </c>
      <c r="O152" s="55"/>
      <c r="P152" s="56"/>
      <c r="Q152" s="57">
        <v>14.06</v>
      </c>
      <c r="R152" s="58"/>
      <c r="S152" s="59">
        <f t="shared" si="154"/>
        <v>0.35150000000000003</v>
      </c>
      <c r="T152" s="60">
        <v>0.06</v>
      </c>
      <c r="U152" s="60">
        <v>0</v>
      </c>
      <c r="V152" s="61">
        <f t="shared" si="155"/>
        <v>14</v>
      </c>
      <c r="W152" s="62">
        <f>IF(RL&gt;0,IF(RL&gt;'Look Ups'!R$7,'Look Ups'!R$8,('Look Ups'!R$3*RL^3+'Look Ups'!R$4*RL^2+'Look Ups'!R$5*RL+'Look Ups'!R$6)),0)</f>
        <v>0.3</v>
      </c>
      <c r="X152" s="256">
        <v>5334</v>
      </c>
      <c r="Y152" s="338"/>
      <c r="Z152" s="338"/>
      <c r="AA152" s="338"/>
      <c r="AB152" s="290">
        <f t="shared" si="156"/>
        <v>5334</v>
      </c>
      <c r="AC152" s="66">
        <f t="shared" si="157"/>
        <v>5334</v>
      </c>
      <c r="AD152" s="67" t="s">
        <v>129</v>
      </c>
      <c r="AE152" s="68" t="s">
        <v>130</v>
      </c>
      <c r="AF152" s="69" t="s">
        <v>131</v>
      </c>
      <c r="AG152" s="70">
        <f>IF(C152="",0,VLOOKUP(AD152,'Look Ups'!$B$3:$C$6,2,0)*VLOOKUP(AE152,'Look Ups'!$E$3:$F$5,2,0)*VLOOKUP(AF152,'Look Ups'!$H$3:$I$7,2,0))</f>
        <v>1</v>
      </c>
      <c r="AH152" s="71">
        <v>15.07</v>
      </c>
      <c r="AI152" s="60">
        <v>14.31</v>
      </c>
      <c r="AJ152" s="60">
        <v>5.81</v>
      </c>
      <c r="AK152" s="60">
        <v>1.96</v>
      </c>
      <c r="AL152" s="60">
        <v>0.74</v>
      </c>
      <c r="AM152" s="60">
        <v>14.55</v>
      </c>
      <c r="AN152" s="60">
        <v>0.21</v>
      </c>
      <c r="AO152" s="60">
        <v>6.11</v>
      </c>
      <c r="AP152" s="60">
        <v>0</v>
      </c>
      <c r="AQ152" s="60"/>
      <c r="AR152" s="60" t="s">
        <v>132</v>
      </c>
      <c r="AS152" s="75">
        <v>0</v>
      </c>
      <c r="AT152" s="59">
        <f t="shared" si="158"/>
        <v>14.55</v>
      </c>
      <c r="AU152" s="59">
        <f t="shared" si="159"/>
        <v>0</v>
      </c>
      <c r="AV152" s="72">
        <f>IF(C152="",0,(0.5*(_ML1*LPM)+0.5*(_ML1*HB)+0.66*(P*PR)+0.66*(_ML2*RDM)+0.66*(E*ER))*VLOOKUP(BATT,'Look Ups'!$N$3:$O$4,2,0))</f>
        <v>67.552583999999996</v>
      </c>
      <c r="AW152" s="73"/>
      <c r="AX152" s="74"/>
      <c r="AY152" s="71">
        <v>13.59</v>
      </c>
      <c r="AZ152" s="60">
        <v>3.77</v>
      </c>
      <c r="BA152" s="60">
        <v>4.2699999999999996</v>
      </c>
      <c r="BB152" s="60">
        <v>0.18</v>
      </c>
      <c r="BC152" s="60">
        <v>12.11</v>
      </c>
      <c r="BD152" s="60"/>
      <c r="BE152" s="60"/>
      <c r="BF152" s="60">
        <v>0.24</v>
      </c>
      <c r="BG152" s="60">
        <v>0</v>
      </c>
      <c r="BH152" s="75"/>
      <c r="BI152" s="72">
        <f t="shared" si="160"/>
        <v>28.042649999999998</v>
      </c>
      <c r="BJ152" s="76"/>
      <c r="BK152" s="77"/>
      <c r="BL152" s="78"/>
      <c r="BM152" s="78"/>
      <c r="BN152" s="77"/>
      <c r="BO152" s="78"/>
      <c r="BP152" s="78"/>
      <c r="BQ152" s="79">
        <f t="shared" si="161"/>
        <v>0</v>
      </c>
      <c r="BR152" s="80"/>
      <c r="BS152" s="77"/>
      <c r="BT152" s="77"/>
      <c r="BU152" s="77"/>
      <c r="BV152" s="77"/>
      <c r="BW152" s="77"/>
      <c r="BX152" s="77"/>
      <c r="BY152" s="72">
        <f t="shared" si="162"/>
        <v>0</v>
      </c>
      <c r="BZ152" s="73">
        <v>9.6999999999999993</v>
      </c>
      <c r="CA152" s="60">
        <v>17.03</v>
      </c>
      <c r="CB152" s="60">
        <v>14.21</v>
      </c>
      <c r="CC152" s="60">
        <v>8.27</v>
      </c>
      <c r="CD152" s="65">
        <f t="shared" si="163"/>
        <v>85.257731958762889</v>
      </c>
      <c r="CE152" s="60">
        <v>0</v>
      </c>
      <c r="CF152" s="79">
        <f t="shared" si="164"/>
        <v>111.3706</v>
      </c>
      <c r="CG152" s="71">
        <v>8.91</v>
      </c>
      <c r="CH152" s="60">
        <v>14.8</v>
      </c>
      <c r="CI152" s="60">
        <v>12.83</v>
      </c>
      <c r="CJ152" s="60">
        <v>4.46</v>
      </c>
      <c r="CK152" s="59">
        <f t="shared" si="181"/>
        <v>50.056116722783386</v>
      </c>
      <c r="CL152" s="60">
        <v>0</v>
      </c>
      <c r="CM152" s="72">
        <f t="shared" si="165"/>
        <v>61.591875000000009</v>
      </c>
      <c r="CN152" s="81">
        <f t="shared" si="166"/>
        <v>1</v>
      </c>
      <c r="CO152" s="59">
        <f t="shared" si="167"/>
        <v>67.552583999999996</v>
      </c>
      <c r="CP152" s="59">
        <f t="shared" si="168"/>
        <v>1</v>
      </c>
      <c r="CQ152" s="59">
        <f t="shared" si="169"/>
        <v>28.042649999999998</v>
      </c>
      <c r="CR152" s="59">
        <f>IF(AV152&gt;0,'Look Ups'!$L$3,0)</f>
        <v>1</v>
      </c>
      <c r="CS152" s="59">
        <f t="shared" si="170"/>
        <v>0</v>
      </c>
      <c r="CT152" s="59">
        <f t="shared" si="182"/>
        <v>0</v>
      </c>
      <c r="CU152" s="59">
        <f t="shared" si="183"/>
        <v>0</v>
      </c>
      <c r="CV152" s="79">
        <f t="shared" si="184"/>
        <v>0</v>
      </c>
      <c r="CW152" s="82" t="str">
        <f t="shared" si="171"/>
        <v>valid</v>
      </c>
      <c r="CX152" s="65" t="str">
        <f t="shared" si="172"/>
        <v>valid</v>
      </c>
      <c r="CY152" s="66" t="str">
        <f t="shared" si="173"/>
        <v>MGScrSp</v>
      </c>
      <c r="CZ152" s="81">
        <f t="shared" si="174"/>
        <v>95.595233999999991</v>
      </c>
      <c r="DA152" s="59">
        <f t="shared" si="175"/>
        <v>24.998384999999999</v>
      </c>
      <c r="DB152" s="59">
        <f t="shared" si="176"/>
        <v>11.742228750000002</v>
      </c>
      <c r="DC152" s="59">
        <f t="shared" si="177"/>
        <v>24.581745249999997</v>
      </c>
      <c r="DD152" s="59">
        <f t="shared" si="178"/>
        <v>1.8452073750000004</v>
      </c>
      <c r="DE152" s="79">
        <f t="shared" si="179"/>
        <v>99.862306871999991</v>
      </c>
      <c r="DF152" s="83">
        <f t="shared" si="180"/>
        <v>122.02218662499999</v>
      </c>
    </row>
    <row r="153" spans="2:110" ht="16.5" customHeight="1" x14ac:dyDescent="0.25">
      <c r="B153" s="47"/>
      <c r="C153" s="168" t="s">
        <v>576</v>
      </c>
      <c r="D153" s="169" t="s">
        <v>577</v>
      </c>
      <c r="E153" s="170" t="s">
        <v>578</v>
      </c>
      <c r="F153" s="50">
        <f t="shared" si="151"/>
        <v>0.77266021697077725</v>
      </c>
      <c r="G153" s="50" t="str">
        <f t="shared" ca="1" si="152"/>
        <v>No</v>
      </c>
      <c r="H153" s="51" t="str">
        <f t="shared" si="153"/>
        <v>Main - Genoa - Screacher</v>
      </c>
      <c r="I153" s="171">
        <v>37829</v>
      </c>
      <c r="J153" s="171"/>
      <c r="K153" s="172" t="s">
        <v>299</v>
      </c>
      <c r="L153" s="172" t="s">
        <v>387</v>
      </c>
      <c r="M153" s="171"/>
      <c r="N153" s="173" t="s">
        <v>537</v>
      </c>
      <c r="O153" s="173"/>
      <c r="P153" s="174"/>
      <c r="Q153" s="175">
        <v>7.39</v>
      </c>
      <c r="R153" s="78"/>
      <c r="S153" s="59">
        <f t="shared" si="154"/>
        <v>0.18475</v>
      </c>
      <c r="T153" s="176">
        <v>0.34</v>
      </c>
      <c r="U153" s="176">
        <v>0</v>
      </c>
      <c r="V153" s="61">
        <f t="shared" si="155"/>
        <v>7.05</v>
      </c>
      <c r="W153" s="62">
        <f>IF(RL&gt;0,IF(RL&gt;'Look Ups'!R$7,'Look Ups'!R$8,('Look Ups'!R$3*RL^3+'Look Ups'!R$4*RL^2+'Look Ups'!R$5*RL+'Look Ups'!R$6)),0)</f>
        <v>0.28995478662500002</v>
      </c>
      <c r="X153" s="177">
        <v>1155</v>
      </c>
      <c r="Y153" s="315"/>
      <c r="Z153" s="337"/>
      <c r="AA153" s="337"/>
      <c r="AB153" s="290">
        <f t="shared" si="156"/>
        <v>1155</v>
      </c>
      <c r="AC153" s="66">
        <f t="shared" si="157"/>
        <v>1155</v>
      </c>
      <c r="AD153" s="179" t="s">
        <v>129</v>
      </c>
      <c r="AE153" s="180" t="s">
        <v>130</v>
      </c>
      <c r="AF153" s="181" t="s">
        <v>131</v>
      </c>
      <c r="AG153" s="70">
        <f>IF(C153="",0,VLOOKUP(AD153,'Look Ups'!$B$3:$C$6,2,0)*VLOOKUP(AE153,'Look Ups'!$E$3:$F$5,2,0)*VLOOKUP(AF153,'Look Ups'!$H$3:$I$7,2,0))</f>
        <v>1</v>
      </c>
      <c r="AH153" s="80">
        <v>9.92</v>
      </c>
      <c r="AI153" s="77">
        <v>9.8800000000000008</v>
      </c>
      <c r="AJ153" s="77">
        <v>2.86</v>
      </c>
      <c r="AK153" s="77">
        <v>0.14000000000000001</v>
      </c>
      <c r="AL153" s="77">
        <v>0.81</v>
      </c>
      <c r="AM153" s="77">
        <v>9.65</v>
      </c>
      <c r="AN153" s="77">
        <v>0.13</v>
      </c>
      <c r="AO153" s="77">
        <v>2.96</v>
      </c>
      <c r="AP153" s="77">
        <v>0</v>
      </c>
      <c r="AQ153" s="77">
        <v>0.35799999999999998</v>
      </c>
      <c r="AR153" s="77" t="s">
        <v>132</v>
      </c>
      <c r="AS153" s="87">
        <v>0</v>
      </c>
      <c r="AT153" s="59">
        <f t="shared" si="158"/>
        <v>9.65</v>
      </c>
      <c r="AU153" s="59">
        <f t="shared" si="159"/>
        <v>1.2955125000000001</v>
      </c>
      <c r="AV153" s="72">
        <f>IF(C153="",0,(0.5*(_ML1*LPM)+0.5*(_ML1*HB)+0.66*(P*PR)+0.66*(_ML2*RDM)+0.66*(E*ER))*VLOOKUP(BATT,'Look Ups'!$N$3:$O$4,2,0))</f>
        <v>20.989818</v>
      </c>
      <c r="AW153" s="182"/>
      <c r="AX153" s="183"/>
      <c r="AY153" s="80">
        <v>8.65</v>
      </c>
      <c r="AZ153" s="77">
        <v>3.03</v>
      </c>
      <c r="BA153" s="77">
        <v>3.375</v>
      </c>
      <c r="BB153" s="77">
        <v>0.16</v>
      </c>
      <c r="BC153" s="77">
        <v>7.79</v>
      </c>
      <c r="BD153" s="77"/>
      <c r="BE153" s="77"/>
      <c r="BF153" s="77">
        <v>-7.0000000000000007E-2</v>
      </c>
      <c r="BG153" s="77">
        <v>-0.05</v>
      </c>
      <c r="BH153" s="87"/>
      <c r="BI153" s="72">
        <f t="shared" si="160"/>
        <v>12.815802</v>
      </c>
      <c r="BJ153" s="76"/>
      <c r="BK153" s="77"/>
      <c r="BL153" s="78"/>
      <c r="BM153" s="78"/>
      <c r="BN153" s="77"/>
      <c r="BO153" s="78"/>
      <c r="BP153" s="78"/>
      <c r="BQ153" s="79">
        <f t="shared" si="161"/>
        <v>0</v>
      </c>
      <c r="BR153" s="80"/>
      <c r="BS153" s="77"/>
      <c r="BT153" s="77"/>
      <c r="BU153" s="77"/>
      <c r="BV153" s="77"/>
      <c r="BW153" s="77"/>
      <c r="BX153" s="77"/>
      <c r="BY153" s="72">
        <f t="shared" si="162"/>
        <v>0</v>
      </c>
      <c r="BZ153" s="182"/>
      <c r="CA153" s="77"/>
      <c r="CB153" s="77"/>
      <c r="CC153" s="77"/>
      <c r="CD153" s="65" t="str">
        <f t="shared" si="163"/>
        <v/>
      </c>
      <c r="CE153" s="77">
        <v>0</v>
      </c>
      <c r="CF153" s="79">
        <f t="shared" si="164"/>
        <v>0</v>
      </c>
      <c r="CG153" s="80">
        <v>6.64</v>
      </c>
      <c r="CH153" s="77">
        <v>12.47</v>
      </c>
      <c r="CI153" s="77">
        <v>9.43</v>
      </c>
      <c r="CJ153" s="77">
        <v>4.76</v>
      </c>
      <c r="CK153" s="59">
        <f t="shared" si="181"/>
        <v>71.686746987951807</v>
      </c>
      <c r="CL153" s="77">
        <v>0</v>
      </c>
      <c r="CM153" s="72">
        <f t="shared" si="165"/>
        <v>46.866</v>
      </c>
      <c r="CN153" s="81">
        <f t="shared" si="166"/>
        <v>1</v>
      </c>
      <c r="CO153" s="59">
        <f t="shared" si="167"/>
        <v>22.285330500000001</v>
      </c>
      <c r="CP153" s="59">
        <f t="shared" si="168"/>
        <v>1</v>
      </c>
      <c r="CQ153" s="59">
        <f t="shared" si="169"/>
        <v>12.815802</v>
      </c>
      <c r="CR153" s="59">
        <f>IF(AV153&gt;0,'Look Ups'!$L$3,0)</f>
        <v>1</v>
      </c>
      <c r="CS153" s="59">
        <f t="shared" si="170"/>
        <v>0</v>
      </c>
      <c r="CT153" s="59">
        <f t="shared" si="182"/>
        <v>0</v>
      </c>
      <c r="CU153" s="59">
        <f t="shared" si="183"/>
        <v>0</v>
      </c>
      <c r="CV153" s="79">
        <f t="shared" si="184"/>
        <v>0</v>
      </c>
      <c r="CW153" s="82" t="str">
        <f t="shared" si="171"/>
        <v>valid</v>
      </c>
      <c r="CX153" s="65" t="str">
        <f t="shared" si="172"/>
        <v>-</v>
      </c>
      <c r="CY153" s="66" t="str">
        <f t="shared" si="173"/>
        <v>MGScr</v>
      </c>
      <c r="CZ153" s="81">
        <f t="shared" si="174"/>
        <v>35.101132499999999</v>
      </c>
      <c r="DA153" s="59">
        <f t="shared" si="175"/>
        <v>0</v>
      </c>
      <c r="DB153" s="59">
        <f t="shared" si="176"/>
        <v>11.9175693</v>
      </c>
      <c r="DC153" s="59">
        <f t="shared" si="177"/>
        <v>0</v>
      </c>
      <c r="DD153" s="59">
        <f t="shared" si="178"/>
        <v>1.8727608900000001</v>
      </c>
      <c r="DE153" s="79">
        <f t="shared" si="179"/>
        <v>36.123841577999997</v>
      </c>
      <c r="DF153" s="83">
        <f t="shared" si="180"/>
        <v>47.018701800000002</v>
      </c>
    </row>
    <row r="154" spans="2:110" ht="16.5" customHeight="1" x14ac:dyDescent="0.25">
      <c r="B154" s="168"/>
      <c r="C154" s="168" t="s">
        <v>579</v>
      </c>
      <c r="D154" s="169" t="s">
        <v>580</v>
      </c>
      <c r="E154" s="170" t="s">
        <v>581</v>
      </c>
      <c r="F154" s="50">
        <f t="shared" si="151"/>
        <v>0.93855158409645034</v>
      </c>
      <c r="G154" s="50" t="str">
        <f t="shared" ca="1" si="152"/>
        <v>No</v>
      </c>
      <c r="H154" s="51" t="str">
        <f t="shared" si="153"/>
        <v>Main - Genoa - Spinnaker</v>
      </c>
      <c r="I154" s="171">
        <v>38071</v>
      </c>
      <c r="J154" s="171"/>
      <c r="K154" s="172" t="s">
        <v>305</v>
      </c>
      <c r="L154" s="172" t="s">
        <v>387</v>
      </c>
      <c r="M154" s="171"/>
      <c r="N154" s="173" t="s">
        <v>149</v>
      </c>
      <c r="O154" s="173"/>
      <c r="P154" s="174">
        <v>7.3</v>
      </c>
      <c r="Q154" s="175">
        <v>12.74</v>
      </c>
      <c r="R154" s="78"/>
      <c r="S154" s="59">
        <f t="shared" si="154"/>
        <v>0.31850000000000001</v>
      </c>
      <c r="T154" s="176">
        <v>0.42</v>
      </c>
      <c r="U154" s="176">
        <v>0</v>
      </c>
      <c r="V154" s="61">
        <f t="shared" si="155"/>
        <v>12.32</v>
      </c>
      <c r="W154" s="62">
        <f>IF(RL&gt;0,IF(RL&gt;'Look Ups'!R$7,'Look Ups'!R$8,('Look Ups'!R$3*RL^3+'Look Ups'!R$4*RL^2+'Look Ups'!R$5*RL+'Look Ups'!R$6)),0)</f>
        <v>0.3</v>
      </c>
      <c r="X154" s="177">
        <v>5056</v>
      </c>
      <c r="Y154" s="315"/>
      <c r="Z154" s="337"/>
      <c r="AA154" s="337"/>
      <c r="AB154" s="290">
        <f t="shared" si="156"/>
        <v>5056</v>
      </c>
      <c r="AC154" s="66">
        <f t="shared" si="157"/>
        <v>5056</v>
      </c>
      <c r="AD154" s="179" t="s">
        <v>129</v>
      </c>
      <c r="AE154" s="180" t="s">
        <v>130</v>
      </c>
      <c r="AF154" s="181" t="s">
        <v>161</v>
      </c>
      <c r="AG154" s="70">
        <f>IF(C154="",0,VLOOKUP(AD154,'Look Ups'!$B$3:$C$6,2,0)*VLOOKUP(AE154,'Look Ups'!$E$3:$F$5,2,0)*VLOOKUP(AF154,'Look Ups'!$H$3:$I$7,2,0))</f>
        <v>0.99</v>
      </c>
      <c r="AH154" s="80">
        <v>15.7</v>
      </c>
      <c r="AI154" s="77">
        <v>15.2</v>
      </c>
      <c r="AJ154" s="77">
        <v>4.99</v>
      </c>
      <c r="AK154" s="77">
        <v>1.6</v>
      </c>
      <c r="AL154" s="77">
        <v>1.51</v>
      </c>
      <c r="AM154" s="77">
        <v>15.7</v>
      </c>
      <c r="AN154" s="77">
        <v>0.33</v>
      </c>
      <c r="AO154" s="77">
        <v>5.09</v>
      </c>
      <c r="AP154" s="77">
        <v>0.03</v>
      </c>
      <c r="AQ154" s="77">
        <v>1.2</v>
      </c>
      <c r="AR154" s="77" t="s">
        <v>132</v>
      </c>
      <c r="AS154" s="87">
        <v>0</v>
      </c>
      <c r="AT154" s="59">
        <f t="shared" si="158"/>
        <v>15.729999999999999</v>
      </c>
      <c r="AU154" s="59">
        <f t="shared" si="159"/>
        <v>7.0649999999999986</v>
      </c>
      <c r="AV154" s="72">
        <f>IF(C154="",0,(0.5*(_ML1*LPM)+0.5*(_ML1*HB)+0.66*(P*PR)+0.66*(_ML2*RDM)+0.66*(E*ER))*VLOOKUP(BATT,'Look Ups'!$N$3:$O$4,2,0))</f>
        <v>70.400062000000005</v>
      </c>
      <c r="AW154" s="182"/>
      <c r="AX154" s="183"/>
      <c r="AY154" s="80">
        <v>14.23</v>
      </c>
      <c r="AZ154" s="77">
        <v>5.34</v>
      </c>
      <c r="BA154" s="77">
        <v>5.74</v>
      </c>
      <c r="BB154" s="77">
        <v>0.08</v>
      </c>
      <c r="BC154" s="77">
        <v>13.04</v>
      </c>
      <c r="BD154" s="77"/>
      <c r="BE154" s="77"/>
      <c r="BF154" s="77">
        <v>-0.15</v>
      </c>
      <c r="BG154" s="77">
        <v>-0.1</v>
      </c>
      <c r="BH154" s="87"/>
      <c r="BI154" s="72">
        <f t="shared" si="160"/>
        <v>36.067032000000005</v>
      </c>
      <c r="BJ154" s="76"/>
      <c r="BK154" s="77"/>
      <c r="BL154" s="78"/>
      <c r="BM154" s="78"/>
      <c r="BN154" s="77"/>
      <c r="BO154" s="78"/>
      <c r="BP154" s="78"/>
      <c r="BQ154" s="79">
        <f t="shared" si="161"/>
        <v>0</v>
      </c>
      <c r="BR154" s="80"/>
      <c r="BS154" s="77"/>
      <c r="BT154" s="77"/>
      <c r="BU154" s="77"/>
      <c r="BV154" s="77"/>
      <c r="BW154" s="77"/>
      <c r="BX154" s="77"/>
      <c r="BY154" s="72">
        <f t="shared" si="162"/>
        <v>0</v>
      </c>
      <c r="BZ154" s="182">
        <v>12.27</v>
      </c>
      <c r="CA154" s="77">
        <v>19.940000000000001</v>
      </c>
      <c r="CB154" s="77">
        <v>17.71</v>
      </c>
      <c r="CC154" s="77">
        <v>12.95</v>
      </c>
      <c r="CD154" s="65">
        <f t="shared" si="163"/>
        <v>105.54197229013855</v>
      </c>
      <c r="CE154" s="77">
        <v>0</v>
      </c>
      <c r="CF154" s="79">
        <f t="shared" si="164"/>
        <v>201.01962500000002</v>
      </c>
      <c r="CG154" s="80"/>
      <c r="CH154" s="77"/>
      <c r="CI154" s="77"/>
      <c r="CJ154" s="77"/>
      <c r="CK154" s="59" t="str">
        <f t="shared" si="181"/>
        <v/>
      </c>
      <c r="CL154" s="77">
        <v>0</v>
      </c>
      <c r="CM154" s="72">
        <f t="shared" si="165"/>
        <v>0</v>
      </c>
      <c r="CN154" s="81">
        <f t="shared" si="166"/>
        <v>1</v>
      </c>
      <c r="CO154" s="59">
        <f t="shared" si="167"/>
        <v>77.465062000000003</v>
      </c>
      <c r="CP154" s="59">
        <f t="shared" si="168"/>
        <v>1</v>
      </c>
      <c r="CQ154" s="59">
        <f t="shared" si="169"/>
        <v>36.067032000000005</v>
      </c>
      <c r="CR154" s="59">
        <f>IF(AV154&gt;0,'Look Ups'!$L$3,0)</f>
        <v>1</v>
      </c>
      <c r="CS154" s="59">
        <f t="shared" si="170"/>
        <v>0</v>
      </c>
      <c r="CT154" s="59">
        <f t="shared" si="182"/>
        <v>0</v>
      </c>
      <c r="CU154" s="59">
        <f t="shared" si="183"/>
        <v>0</v>
      </c>
      <c r="CV154" s="79">
        <f t="shared" si="184"/>
        <v>0</v>
      </c>
      <c r="CW154" s="82" t="str">
        <f t="shared" si="171"/>
        <v>-</v>
      </c>
      <c r="CX154" s="65" t="str">
        <f t="shared" si="172"/>
        <v>valid</v>
      </c>
      <c r="CY154" s="66" t="str">
        <f t="shared" si="173"/>
        <v>MGSp</v>
      </c>
      <c r="CZ154" s="81">
        <f t="shared" si="174"/>
        <v>113.532094</v>
      </c>
      <c r="DA154" s="59">
        <f t="shared" si="175"/>
        <v>49.485777900000002</v>
      </c>
      <c r="DB154" s="59">
        <f t="shared" si="176"/>
        <v>0</v>
      </c>
      <c r="DC154" s="59">
        <f t="shared" si="177"/>
        <v>48.661014934999997</v>
      </c>
      <c r="DD154" s="59">
        <f t="shared" si="178"/>
        <v>0</v>
      </c>
      <c r="DE154" s="79">
        <f t="shared" si="179"/>
        <v>118.00308124</v>
      </c>
      <c r="DF154" s="83">
        <f t="shared" si="180"/>
        <v>163.01787189999999</v>
      </c>
    </row>
    <row r="155" spans="2:110" ht="16.5" customHeight="1" x14ac:dyDescent="0.25">
      <c r="B155" s="168"/>
      <c r="C155" s="47" t="s">
        <v>184</v>
      </c>
      <c r="D155" s="48"/>
      <c r="E155" s="49" t="s">
        <v>185</v>
      </c>
      <c r="F155" s="50">
        <f t="shared" si="151"/>
        <v>0.9414928587820609</v>
      </c>
      <c r="G155" s="50" t="str">
        <f t="shared" ca="1" si="152"/>
        <v>No</v>
      </c>
      <c r="H155" s="51" t="str">
        <f t="shared" si="153"/>
        <v>Main - Genoa - Screacher - Spinnaker</v>
      </c>
      <c r="I155" s="52">
        <v>39343</v>
      </c>
      <c r="J155" s="52"/>
      <c r="K155" s="53" t="s">
        <v>186</v>
      </c>
      <c r="L155" s="53" t="s">
        <v>187</v>
      </c>
      <c r="M155" s="54"/>
      <c r="N155" s="55" t="s">
        <v>149</v>
      </c>
      <c r="O155" s="55"/>
      <c r="P155" s="56"/>
      <c r="Q155" s="57">
        <v>9.0299999999999994</v>
      </c>
      <c r="R155" s="58"/>
      <c r="S155" s="59">
        <f t="shared" si="154"/>
        <v>0.22575000000000001</v>
      </c>
      <c r="T155" s="60">
        <v>0.52</v>
      </c>
      <c r="U155" s="60">
        <v>0</v>
      </c>
      <c r="V155" s="61">
        <f t="shared" si="155"/>
        <v>8.51</v>
      </c>
      <c r="W155" s="62">
        <f>IF(RL&gt;0,IF(RL&gt;'Look Ups'!R$7,'Look Ups'!R$8,('Look Ups'!R$3*RL^3+'Look Ups'!R$4*RL^2+'Look Ups'!R$5*RL+'Look Ups'!R$6)),0)</f>
        <v>0.29539459668300005</v>
      </c>
      <c r="X155" s="63">
        <v>1385</v>
      </c>
      <c r="Y155" s="289"/>
      <c r="Z155" s="338"/>
      <c r="AA155" s="338"/>
      <c r="AB155" s="290">
        <f t="shared" si="156"/>
        <v>1385</v>
      </c>
      <c r="AC155" s="66">
        <f t="shared" si="157"/>
        <v>1385</v>
      </c>
      <c r="AD155" s="67" t="s">
        <v>129</v>
      </c>
      <c r="AE155" s="68" t="s">
        <v>130</v>
      </c>
      <c r="AF155" s="69" t="s">
        <v>131</v>
      </c>
      <c r="AG155" s="70">
        <f>IF(C155="",0,VLOOKUP(AD155,'Look Ups'!$B$3:$C$6,2,0)*VLOOKUP(AE155,'Look Ups'!$E$3:$F$5,2,0)*VLOOKUP(AF155,'Look Ups'!$H$3:$I$7,2,0))</f>
        <v>1</v>
      </c>
      <c r="AH155" s="71">
        <v>11.63</v>
      </c>
      <c r="AI155" s="60">
        <v>11.23</v>
      </c>
      <c r="AJ155" s="60">
        <v>4.47</v>
      </c>
      <c r="AK155" s="60">
        <v>0.99</v>
      </c>
      <c r="AL155" s="60">
        <v>0.8</v>
      </c>
      <c r="AM155" s="60">
        <v>10.92</v>
      </c>
      <c r="AN155" s="60">
        <v>0.2</v>
      </c>
      <c r="AO155" s="60">
        <v>4.7699999999999996</v>
      </c>
      <c r="AP155" s="60">
        <v>0.11</v>
      </c>
      <c r="AQ155" s="60">
        <v>0</v>
      </c>
      <c r="AR155" s="60" t="s">
        <v>132</v>
      </c>
      <c r="AS155" s="75" t="s">
        <v>188</v>
      </c>
      <c r="AT155" s="59">
        <f t="shared" si="158"/>
        <v>11.03</v>
      </c>
      <c r="AU155" s="59">
        <f t="shared" si="159"/>
        <v>0</v>
      </c>
      <c r="AV155" s="72">
        <f>IF(C155="",0,(0.5*(_ML1*LPM)+0.5*(_ML1*HB)+0.66*(P*PR)+0.66*(_ML2*RDM)+0.66*(E*ER))*VLOOKUP(BATT,'Look Ups'!$N$3:$O$4,2,0))</f>
        <v>39.467082000000005</v>
      </c>
      <c r="AW155" s="73"/>
      <c r="AX155" s="74"/>
      <c r="AY155" s="71">
        <v>10.130000000000001</v>
      </c>
      <c r="AZ155" s="60">
        <v>4.0199999999999996</v>
      </c>
      <c r="BA155" s="60">
        <v>4.16</v>
      </c>
      <c r="BB155" s="60">
        <v>-7.0000000000000007E-2</v>
      </c>
      <c r="BC155" s="60">
        <v>9.93</v>
      </c>
      <c r="BD155" s="60"/>
      <c r="BE155" s="60"/>
      <c r="BF155" s="60">
        <v>-0.03</v>
      </c>
      <c r="BG155" s="60">
        <v>-0.09</v>
      </c>
      <c r="BH155" s="75" t="s">
        <v>165</v>
      </c>
      <c r="BI155" s="72">
        <f t="shared" si="160"/>
        <v>19.370772000000002</v>
      </c>
      <c r="BJ155" s="76"/>
      <c r="BK155" s="77"/>
      <c r="BL155" s="78"/>
      <c r="BM155" s="78"/>
      <c r="BN155" s="77"/>
      <c r="BO155" s="78"/>
      <c r="BP155" s="78"/>
      <c r="BQ155" s="79">
        <f t="shared" si="161"/>
        <v>0</v>
      </c>
      <c r="BR155" s="80"/>
      <c r="BS155" s="77"/>
      <c r="BT155" s="77"/>
      <c r="BU155" s="77"/>
      <c r="BV155" s="77"/>
      <c r="BW155" s="77"/>
      <c r="BX155" s="77"/>
      <c r="BY155" s="72">
        <f t="shared" si="162"/>
        <v>0</v>
      </c>
      <c r="BZ155" s="73">
        <v>9.1999999999999993</v>
      </c>
      <c r="CA155" s="60">
        <v>13</v>
      </c>
      <c r="CB155" s="60">
        <v>11.1</v>
      </c>
      <c r="CC155" s="60">
        <v>7</v>
      </c>
      <c r="CD155" s="65">
        <f t="shared" si="163"/>
        <v>76.08695652173914</v>
      </c>
      <c r="CE155" s="60" t="s">
        <v>189</v>
      </c>
      <c r="CF155" s="79">
        <f t="shared" si="164"/>
        <v>74.710000000000008</v>
      </c>
      <c r="CG155" s="71">
        <v>5.75</v>
      </c>
      <c r="CH155" s="60">
        <v>10.26</v>
      </c>
      <c r="CI155" s="60">
        <v>9.02</v>
      </c>
      <c r="CJ155" s="60">
        <v>3.06</v>
      </c>
      <c r="CK155" s="59">
        <f t="shared" si="181"/>
        <v>53.217391304347828</v>
      </c>
      <c r="CL155" s="60" t="s">
        <v>895</v>
      </c>
      <c r="CM155" s="72">
        <f t="shared" si="165"/>
        <v>28.903933333333338</v>
      </c>
      <c r="CN155" s="81">
        <f t="shared" si="166"/>
        <v>1</v>
      </c>
      <c r="CO155" s="59">
        <f t="shared" si="167"/>
        <v>39.467082000000005</v>
      </c>
      <c r="CP155" s="59">
        <f t="shared" si="168"/>
        <v>1</v>
      </c>
      <c r="CQ155" s="59">
        <f t="shared" si="169"/>
        <v>19.370772000000002</v>
      </c>
      <c r="CR155" s="59">
        <f>IF(AV155&gt;0,'Look Ups'!$L$3,0)</f>
        <v>1</v>
      </c>
      <c r="CS155" s="59">
        <f t="shared" si="170"/>
        <v>0</v>
      </c>
      <c r="CT155" s="59">
        <f t="shared" si="182"/>
        <v>0</v>
      </c>
      <c r="CU155" s="59">
        <f t="shared" si="183"/>
        <v>0</v>
      </c>
      <c r="CV155" s="79">
        <f t="shared" si="184"/>
        <v>0</v>
      </c>
      <c r="CW155" s="82" t="str">
        <f t="shared" si="171"/>
        <v>valid</v>
      </c>
      <c r="CX155" s="65" t="str">
        <f t="shared" si="172"/>
        <v>valid</v>
      </c>
      <c r="CY155" s="66" t="str">
        <f t="shared" si="173"/>
        <v>MGScrSp</v>
      </c>
      <c r="CZ155" s="81">
        <f t="shared" si="174"/>
        <v>58.837854000000007</v>
      </c>
      <c r="DA155" s="59">
        <f t="shared" si="175"/>
        <v>16.601768400000001</v>
      </c>
      <c r="DB155" s="59">
        <f t="shared" si="176"/>
        <v>3.3366064666666673</v>
      </c>
      <c r="DC155" s="59">
        <f t="shared" si="177"/>
        <v>16.325072260000002</v>
      </c>
      <c r="DD155" s="59">
        <f t="shared" si="178"/>
        <v>0.52432387333333352</v>
      </c>
      <c r="DE155" s="79">
        <f t="shared" si="179"/>
        <v>61.00825548000001</v>
      </c>
      <c r="DF155" s="83">
        <f t="shared" si="180"/>
        <v>75.687250133333336</v>
      </c>
    </row>
    <row r="156" spans="2:110" ht="16.5" customHeight="1" x14ac:dyDescent="0.25">
      <c r="B156" s="47"/>
      <c r="C156" s="47" t="s">
        <v>199</v>
      </c>
      <c r="D156" s="48" t="s">
        <v>200</v>
      </c>
      <c r="E156" s="49" t="s">
        <v>135</v>
      </c>
      <c r="F156" s="50">
        <f t="shared" si="151"/>
        <v>0.85639365195816419</v>
      </c>
      <c r="G156" s="50" t="str">
        <f t="shared" ca="1" si="152"/>
        <v>No</v>
      </c>
      <c r="H156" s="51" t="str">
        <f t="shared" si="153"/>
        <v>Main - Genoa - Spinnaker</v>
      </c>
      <c r="I156" s="52">
        <v>40236</v>
      </c>
      <c r="J156" s="52">
        <v>40811</v>
      </c>
      <c r="K156" s="53" t="s">
        <v>201</v>
      </c>
      <c r="L156" s="53" t="s">
        <v>148</v>
      </c>
      <c r="M156" s="54"/>
      <c r="N156" s="55" t="s">
        <v>127</v>
      </c>
      <c r="O156" s="55" t="s">
        <v>138</v>
      </c>
      <c r="P156" s="56"/>
      <c r="Q156" s="57">
        <v>7.3</v>
      </c>
      <c r="R156" s="58"/>
      <c r="S156" s="59">
        <f t="shared" si="154"/>
        <v>0.1825</v>
      </c>
      <c r="T156" s="60">
        <v>0.01</v>
      </c>
      <c r="U156" s="60"/>
      <c r="V156" s="61">
        <f t="shared" si="155"/>
        <v>7.29</v>
      </c>
      <c r="W156" s="62">
        <f>IF(RL&gt;0,IF(RL&gt;'Look Ups'!R$7,'Look Ups'!R$8,('Look Ups'!R$3*RL^3+'Look Ups'!R$4*RL^2+'Look Ups'!R$5*RL+'Look Ups'!R$6)),0)</f>
        <v>0.29103813613700003</v>
      </c>
      <c r="X156" s="63">
        <v>980</v>
      </c>
      <c r="Y156" s="289"/>
      <c r="Z156" s="338"/>
      <c r="AA156" s="338"/>
      <c r="AB156" s="290">
        <f t="shared" si="156"/>
        <v>980</v>
      </c>
      <c r="AC156" s="66">
        <f t="shared" si="157"/>
        <v>980</v>
      </c>
      <c r="AD156" s="67" t="s">
        <v>129</v>
      </c>
      <c r="AE156" s="68" t="s">
        <v>130</v>
      </c>
      <c r="AF156" s="69" t="s">
        <v>131</v>
      </c>
      <c r="AG156" s="70">
        <f>IF(C156="",0,VLOOKUP(AD156,'Look Ups'!$B$3:$C$6,2,0)*VLOOKUP(AE156,'Look Ups'!$E$3:$F$5,2,0)*VLOOKUP(AF156,'Look Ups'!$H$3:$I$7,2,0))</f>
        <v>1</v>
      </c>
      <c r="AH156" s="71">
        <v>10.07</v>
      </c>
      <c r="AI156" s="60">
        <v>9.86</v>
      </c>
      <c r="AJ156" s="60">
        <v>3.14</v>
      </c>
      <c r="AK156" s="60">
        <v>1.2</v>
      </c>
      <c r="AL156" s="60">
        <v>0.30000000000000004</v>
      </c>
      <c r="AM156" s="60">
        <v>9.65</v>
      </c>
      <c r="AN156" s="60">
        <v>0.09</v>
      </c>
      <c r="AO156" s="60">
        <v>3.3</v>
      </c>
      <c r="AP156" s="60">
        <v>0.04</v>
      </c>
      <c r="AQ156" s="60">
        <v>0.49</v>
      </c>
      <c r="AR156" s="60" t="s">
        <v>132</v>
      </c>
      <c r="AS156" s="75"/>
      <c r="AT156" s="59">
        <f t="shared" si="158"/>
        <v>9.69</v>
      </c>
      <c r="AU156" s="59">
        <f t="shared" si="159"/>
        <v>1.7731875000000001</v>
      </c>
      <c r="AV156" s="72">
        <f>IF(C156="",0,(0.5*(_ML1*LPM)+0.5*(_ML1*HB)+0.66*(P*PR)+0.66*(_ML2*RDM)+0.66*(E*ER))*VLOOKUP(BATT,'Look Ups'!$N$3:$O$4,2,0))</f>
        <v>24.464510000000001</v>
      </c>
      <c r="AW156" s="73"/>
      <c r="AX156" s="74"/>
      <c r="AY156" s="71">
        <v>8.6999999999999993</v>
      </c>
      <c r="AZ156" s="60">
        <v>2.75</v>
      </c>
      <c r="BA156" s="60">
        <v>3.08</v>
      </c>
      <c r="BB156" s="60">
        <v>0.1</v>
      </c>
      <c r="BC156" s="60">
        <v>7.81</v>
      </c>
      <c r="BD156" s="60"/>
      <c r="BE156" s="60"/>
      <c r="BF156" s="60">
        <v>0.28000000000000003</v>
      </c>
      <c r="BG156" s="60">
        <v>0.05</v>
      </c>
      <c r="BH156" s="75"/>
      <c r="BI156" s="72">
        <f t="shared" si="160"/>
        <v>13.896167999999999</v>
      </c>
      <c r="BJ156" s="76"/>
      <c r="BK156" s="77"/>
      <c r="BL156" s="78"/>
      <c r="BM156" s="78"/>
      <c r="BN156" s="77"/>
      <c r="BO156" s="78"/>
      <c r="BP156" s="78"/>
      <c r="BQ156" s="79">
        <f t="shared" si="161"/>
        <v>0</v>
      </c>
      <c r="BR156" s="80"/>
      <c r="BS156" s="77"/>
      <c r="BT156" s="77"/>
      <c r="BU156" s="77"/>
      <c r="BV156" s="77"/>
      <c r="BW156" s="77"/>
      <c r="BX156" s="77"/>
      <c r="BY156" s="72">
        <f t="shared" si="162"/>
        <v>0</v>
      </c>
      <c r="BZ156" s="73">
        <v>6.85</v>
      </c>
      <c r="CA156" s="60">
        <v>10.75</v>
      </c>
      <c r="CB156" s="60">
        <v>10</v>
      </c>
      <c r="CC156" s="60">
        <v>5.85</v>
      </c>
      <c r="CD156" s="65">
        <f t="shared" si="163"/>
        <v>85.40145985401459</v>
      </c>
      <c r="CE156" s="60"/>
      <c r="CF156" s="79">
        <f t="shared" si="164"/>
        <v>52.307291666666657</v>
      </c>
      <c r="CG156" s="71"/>
      <c r="CH156" s="60"/>
      <c r="CI156" s="60"/>
      <c r="CJ156" s="60"/>
      <c r="CK156" s="59" t="str">
        <f t="shared" si="181"/>
        <v/>
      </c>
      <c r="CL156" s="60"/>
      <c r="CM156" s="72">
        <f t="shared" si="165"/>
        <v>0</v>
      </c>
      <c r="CN156" s="81">
        <f t="shared" si="166"/>
        <v>1</v>
      </c>
      <c r="CO156" s="59">
        <f t="shared" si="167"/>
        <v>26.237697499999999</v>
      </c>
      <c r="CP156" s="59">
        <f t="shared" si="168"/>
        <v>1</v>
      </c>
      <c r="CQ156" s="59">
        <f t="shared" si="169"/>
        <v>13.896167999999999</v>
      </c>
      <c r="CR156" s="59">
        <f>IF(AV156&gt;0,'Look Ups'!$L$3,0)</f>
        <v>1</v>
      </c>
      <c r="CS156" s="59">
        <f t="shared" si="170"/>
        <v>0</v>
      </c>
      <c r="CT156" s="59">
        <f t="shared" si="182"/>
        <v>0</v>
      </c>
      <c r="CU156" s="59">
        <f t="shared" si="183"/>
        <v>0</v>
      </c>
      <c r="CV156" s="79">
        <f t="shared" si="184"/>
        <v>0</v>
      </c>
      <c r="CW156" s="82" t="str">
        <f t="shared" si="171"/>
        <v>-</v>
      </c>
      <c r="CX156" s="65" t="str">
        <f t="shared" si="172"/>
        <v>valid</v>
      </c>
      <c r="CY156" s="66" t="str">
        <f t="shared" si="173"/>
        <v>MGSp</v>
      </c>
      <c r="CZ156" s="81">
        <f t="shared" si="174"/>
        <v>40.133865499999999</v>
      </c>
      <c r="DA156" s="59">
        <f t="shared" si="175"/>
        <v>11.523337099999996</v>
      </c>
      <c r="DB156" s="59">
        <f t="shared" si="176"/>
        <v>0</v>
      </c>
      <c r="DC156" s="59">
        <f t="shared" si="177"/>
        <v>11.331281481666663</v>
      </c>
      <c r="DD156" s="59">
        <f t="shared" si="178"/>
        <v>0</v>
      </c>
      <c r="DE156" s="79">
        <f t="shared" si="179"/>
        <v>41.466750685999997</v>
      </c>
      <c r="DF156" s="83">
        <f t="shared" si="180"/>
        <v>51.657202599999991</v>
      </c>
    </row>
    <row r="157" spans="2:110" ht="16.5" customHeight="1" x14ac:dyDescent="0.25">
      <c r="B157" s="47"/>
      <c r="C157" s="47" t="s">
        <v>202</v>
      </c>
      <c r="D157" s="84" t="s">
        <v>203</v>
      </c>
      <c r="E157" s="49" t="s">
        <v>204</v>
      </c>
      <c r="F157" s="50">
        <f t="shared" si="151"/>
        <v>1.1450150363027467</v>
      </c>
      <c r="G157" s="50" t="str">
        <f t="shared" ca="1" si="152"/>
        <v>Yes</v>
      </c>
      <c r="H157" s="51" t="str">
        <f t="shared" si="153"/>
        <v>Main - Genoa - Screacher</v>
      </c>
      <c r="I157" s="52">
        <v>41487</v>
      </c>
      <c r="J157" s="52">
        <v>41551</v>
      </c>
      <c r="K157" s="53" t="s">
        <v>205</v>
      </c>
      <c r="L157" s="53" t="s">
        <v>137</v>
      </c>
      <c r="M157" s="54"/>
      <c r="N157" s="75" t="s">
        <v>149</v>
      </c>
      <c r="O157" s="75"/>
      <c r="P157" s="85"/>
      <c r="Q157" s="57">
        <v>8.5</v>
      </c>
      <c r="R157" s="58"/>
      <c r="S157" s="59">
        <f t="shared" si="154"/>
        <v>0.21250000000000002</v>
      </c>
      <c r="T157" s="60"/>
      <c r="U157" s="60"/>
      <c r="V157" s="61">
        <f t="shared" si="155"/>
        <v>8.5</v>
      </c>
      <c r="W157" s="62">
        <f>IF(RL&gt;0,IF(RL&gt;'Look Ups'!R$7,'Look Ups'!R$8,('Look Ups'!R$3*RL^3+'Look Ups'!R$4*RL^2+'Look Ups'!R$5*RL+'Look Ups'!R$6)),0)</f>
        <v>0.29536612500000003</v>
      </c>
      <c r="X157" s="63">
        <v>650</v>
      </c>
      <c r="Y157" s="289"/>
      <c r="Z157" s="338"/>
      <c r="AA157" s="338"/>
      <c r="AB157" s="290">
        <f t="shared" si="156"/>
        <v>650</v>
      </c>
      <c r="AC157" s="66">
        <f t="shared" si="157"/>
        <v>650</v>
      </c>
      <c r="AD157" s="67" t="s">
        <v>129</v>
      </c>
      <c r="AE157" s="68" t="s">
        <v>130</v>
      </c>
      <c r="AF157" s="69" t="s">
        <v>131</v>
      </c>
      <c r="AG157" s="70">
        <f>IF(C157="",0,VLOOKUP(AD157,'Look Ups'!$B$3:$C$6,2,0)*VLOOKUP(AE157,'Look Ups'!$E$3:$F$5,2,0)*VLOOKUP(AF157,'Look Ups'!$H$3:$I$7,2,0))</f>
        <v>1</v>
      </c>
      <c r="AH157" s="71">
        <v>12.82</v>
      </c>
      <c r="AI157" s="60">
        <v>12.14</v>
      </c>
      <c r="AJ157" s="60">
        <v>3.46</v>
      </c>
      <c r="AK157" s="60">
        <v>1.9500000000000002</v>
      </c>
      <c r="AL157" s="60">
        <v>0.28999999999999998</v>
      </c>
      <c r="AM157" s="60">
        <v>12.51</v>
      </c>
      <c r="AN157" s="60">
        <v>0.2</v>
      </c>
      <c r="AO157" s="60">
        <v>3.68</v>
      </c>
      <c r="AP157" s="60">
        <v>0.04</v>
      </c>
      <c r="AQ157" s="60">
        <v>0.53</v>
      </c>
      <c r="AR157" s="60" t="s">
        <v>132</v>
      </c>
      <c r="AS157" s="75"/>
      <c r="AT157" s="59">
        <f t="shared" si="158"/>
        <v>12.549999999999999</v>
      </c>
      <c r="AU157" s="59">
        <f t="shared" si="159"/>
        <v>2.4863625000000003</v>
      </c>
      <c r="AV157" s="72">
        <f>IF(C157="",0,(0.5*(_ML1*LPM)+0.5*(_ML1*HB)+0.66*(P*PR)+0.66*(_ML2*RDM)+0.66*(E*ER))*VLOOKUP(BATT,'Look Ups'!$N$3:$O$4,2,0))</f>
        <v>38.750168000000002</v>
      </c>
      <c r="AW157" s="73"/>
      <c r="AX157" s="74"/>
      <c r="AY157" s="71">
        <v>9.44</v>
      </c>
      <c r="AZ157" s="60">
        <v>2.31</v>
      </c>
      <c r="BA157" s="60">
        <v>2.5099999999999998</v>
      </c>
      <c r="BB157" s="60">
        <v>0.06</v>
      </c>
      <c r="BC157" s="60">
        <v>8.7200000000000006</v>
      </c>
      <c r="BD157" s="60">
        <v>8.67</v>
      </c>
      <c r="BE157" s="60">
        <v>0.38</v>
      </c>
      <c r="BF157" s="60">
        <v>0.08</v>
      </c>
      <c r="BG157" s="60">
        <v>0</v>
      </c>
      <c r="BH157" s="75"/>
      <c r="BI157" s="72">
        <f t="shared" si="160"/>
        <v>13.117172000000002</v>
      </c>
      <c r="BJ157" s="76"/>
      <c r="BK157" s="77"/>
      <c r="BL157" s="78"/>
      <c r="BM157" s="78"/>
      <c r="BN157" s="77"/>
      <c r="BO157" s="78"/>
      <c r="BP157" s="78"/>
      <c r="BQ157" s="79">
        <f t="shared" si="161"/>
        <v>0</v>
      </c>
      <c r="BR157" s="80"/>
      <c r="BS157" s="77"/>
      <c r="BT157" s="77"/>
      <c r="BU157" s="77"/>
      <c r="BV157" s="77"/>
      <c r="BW157" s="77"/>
      <c r="BX157" s="77"/>
      <c r="BY157" s="72">
        <f t="shared" si="162"/>
        <v>0</v>
      </c>
      <c r="BZ157" s="73"/>
      <c r="CA157" s="60"/>
      <c r="CB157" s="60"/>
      <c r="CC157" s="60"/>
      <c r="CD157" s="65" t="str">
        <f t="shared" si="163"/>
        <v/>
      </c>
      <c r="CE157" s="75"/>
      <c r="CF157" s="79">
        <f t="shared" si="164"/>
        <v>0</v>
      </c>
      <c r="CG157" s="71">
        <v>8.06</v>
      </c>
      <c r="CH157" s="60">
        <v>12.34</v>
      </c>
      <c r="CI157" s="60">
        <v>11.83</v>
      </c>
      <c r="CJ157" s="60">
        <v>4.04</v>
      </c>
      <c r="CK157" s="59">
        <f t="shared" si="181"/>
        <v>50.124069478908183</v>
      </c>
      <c r="CL157" s="75"/>
      <c r="CM157" s="72">
        <f t="shared" si="165"/>
        <v>48.783116666666672</v>
      </c>
      <c r="CN157" s="81">
        <f t="shared" si="166"/>
        <v>1</v>
      </c>
      <c r="CO157" s="59">
        <f t="shared" si="167"/>
        <v>41.236530500000001</v>
      </c>
      <c r="CP157" s="59">
        <f t="shared" si="168"/>
        <v>1</v>
      </c>
      <c r="CQ157" s="59">
        <f t="shared" si="169"/>
        <v>13.117172000000002</v>
      </c>
      <c r="CR157" s="59">
        <f>IF(AV157&gt;0,'Look Ups'!$L$3,0)</f>
        <v>1</v>
      </c>
      <c r="CS157" s="59">
        <f t="shared" si="170"/>
        <v>0</v>
      </c>
      <c r="CT157" s="59">
        <f t="shared" si="182"/>
        <v>0</v>
      </c>
      <c r="CU157" s="59">
        <f t="shared" si="183"/>
        <v>0</v>
      </c>
      <c r="CV157" s="79">
        <f t="shared" si="184"/>
        <v>0</v>
      </c>
      <c r="CW157" s="82" t="str">
        <f t="shared" si="171"/>
        <v>valid</v>
      </c>
      <c r="CX157" s="65" t="str">
        <f t="shared" si="172"/>
        <v>-</v>
      </c>
      <c r="CY157" s="66" t="str">
        <f t="shared" si="173"/>
        <v>MGScr</v>
      </c>
      <c r="CZ157" s="81">
        <f t="shared" si="174"/>
        <v>54.353702500000004</v>
      </c>
      <c r="DA157" s="59">
        <f t="shared" si="175"/>
        <v>0</v>
      </c>
      <c r="DB157" s="59">
        <f t="shared" si="176"/>
        <v>12.483080633333334</v>
      </c>
      <c r="DC157" s="59">
        <f t="shared" si="177"/>
        <v>0</v>
      </c>
      <c r="DD157" s="59">
        <f t="shared" si="178"/>
        <v>1.9616269566666669</v>
      </c>
      <c r="DE157" s="79">
        <f t="shared" si="179"/>
        <v>57.390593218000006</v>
      </c>
      <c r="DF157" s="83">
        <f t="shared" si="180"/>
        <v>66.836783133333341</v>
      </c>
    </row>
    <row r="158" spans="2:110" ht="16.5" customHeight="1" x14ac:dyDescent="0.25">
      <c r="B158" s="47"/>
      <c r="C158" s="168" t="s">
        <v>582</v>
      </c>
      <c r="D158" s="184" t="s">
        <v>583</v>
      </c>
      <c r="E158" s="170" t="s">
        <v>584</v>
      </c>
      <c r="F158" s="50">
        <f t="shared" si="151"/>
        <v>0.89094267650772396</v>
      </c>
      <c r="G158" s="50" t="str">
        <f t="shared" ca="1" si="152"/>
        <v>No</v>
      </c>
      <c r="H158" s="51" t="str">
        <f t="shared" si="153"/>
        <v>Main - Genoa - Screacher - Spinnaker</v>
      </c>
      <c r="I158" s="171">
        <v>38951</v>
      </c>
      <c r="J158" s="171">
        <v>40057</v>
      </c>
      <c r="K158" s="172" t="s">
        <v>422</v>
      </c>
      <c r="L158" s="172" t="s">
        <v>212</v>
      </c>
      <c r="M158" s="171"/>
      <c r="N158" s="87" t="s">
        <v>149</v>
      </c>
      <c r="O158" s="87"/>
      <c r="P158" s="185">
        <v>5.5</v>
      </c>
      <c r="Q158" s="175">
        <v>8.23</v>
      </c>
      <c r="R158" s="78"/>
      <c r="S158" s="59">
        <f t="shared" si="154"/>
        <v>0.20575000000000002</v>
      </c>
      <c r="T158" s="176">
        <v>0.13</v>
      </c>
      <c r="U158" s="176">
        <v>0</v>
      </c>
      <c r="V158" s="61">
        <f t="shared" si="155"/>
        <v>8.1</v>
      </c>
      <c r="W158" s="62">
        <f>IF(RL&gt;0,IF(RL&gt;'Look Ups'!R$7,'Look Ups'!R$8,('Look Ups'!R$3*RL^3+'Look Ups'!R$4*RL^2+'Look Ups'!R$5*RL+'Look Ups'!R$6)),0)</f>
        <v>0.29413355299999999</v>
      </c>
      <c r="X158" s="177">
        <v>1618</v>
      </c>
      <c r="Y158" s="315"/>
      <c r="Z158" s="337"/>
      <c r="AA158" s="337"/>
      <c r="AB158" s="290">
        <f t="shared" si="156"/>
        <v>1618</v>
      </c>
      <c r="AC158" s="66">
        <f t="shared" si="157"/>
        <v>1618</v>
      </c>
      <c r="AD158" s="179" t="s">
        <v>129</v>
      </c>
      <c r="AE158" s="180" t="s">
        <v>130</v>
      </c>
      <c r="AF158" s="181" t="s">
        <v>131</v>
      </c>
      <c r="AG158" s="70">
        <f>IF(C158="",0,VLOOKUP(AD158,'Look Ups'!$B$3:$C$6,2,0)*VLOOKUP(AE158,'Look Ups'!$E$3:$F$5,2,0)*VLOOKUP(AF158,'Look Ups'!$H$3:$I$7,2,0))</f>
        <v>1</v>
      </c>
      <c r="AH158" s="80">
        <v>11.75</v>
      </c>
      <c r="AI158" s="77">
        <v>11.5</v>
      </c>
      <c r="AJ158" s="77">
        <v>3.85</v>
      </c>
      <c r="AK158" s="77">
        <v>1.52</v>
      </c>
      <c r="AL158" s="77">
        <v>0.75</v>
      </c>
      <c r="AM158" s="77">
        <v>12.17</v>
      </c>
      <c r="AN158" s="77">
        <v>0.11</v>
      </c>
      <c r="AO158" s="77">
        <v>3.92</v>
      </c>
      <c r="AP158" s="77">
        <v>0.02</v>
      </c>
      <c r="AQ158" s="77"/>
      <c r="AR158" s="77" t="s">
        <v>132</v>
      </c>
      <c r="AS158" s="87">
        <v>0</v>
      </c>
      <c r="AT158" s="59">
        <f t="shared" si="158"/>
        <v>12.19</v>
      </c>
      <c r="AU158" s="59">
        <f t="shared" si="159"/>
        <v>0</v>
      </c>
      <c r="AV158" s="72">
        <f>IF(C158="",0,(0.5*(_ML1*LPM)+0.5*(_ML1*HB)+0.66*(P*PR)+0.66*(_ML2*RDM)+0.66*(E*ER))*VLOOKUP(BATT,'Look Ups'!$N$3:$O$4,2,0))</f>
        <v>38.176536000000006</v>
      </c>
      <c r="AW158" s="182"/>
      <c r="AX158" s="183"/>
      <c r="AY158" s="80">
        <v>9.58</v>
      </c>
      <c r="AZ158" s="77">
        <v>2.67</v>
      </c>
      <c r="BA158" s="77">
        <v>2.87</v>
      </c>
      <c r="BB158" s="77">
        <v>7.0000000000000007E-2</v>
      </c>
      <c r="BC158" s="77">
        <v>10.1</v>
      </c>
      <c r="BD158" s="77"/>
      <c r="BE158" s="77"/>
      <c r="BF158" s="77">
        <v>-0.15</v>
      </c>
      <c r="BG158" s="77">
        <v>0.08</v>
      </c>
      <c r="BH158" s="87">
        <v>0</v>
      </c>
      <c r="BI158" s="72">
        <f t="shared" si="160"/>
        <v>12.427817999999998</v>
      </c>
      <c r="BJ158" s="76"/>
      <c r="BK158" s="77"/>
      <c r="BL158" s="78"/>
      <c r="BM158" s="78"/>
      <c r="BN158" s="77"/>
      <c r="BO158" s="78"/>
      <c r="BP158" s="78"/>
      <c r="BQ158" s="79">
        <f t="shared" si="161"/>
        <v>0</v>
      </c>
      <c r="BR158" s="80"/>
      <c r="BS158" s="77"/>
      <c r="BT158" s="77"/>
      <c r="BU158" s="77"/>
      <c r="BV158" s="77"/>
      <c r="BW158" s="77"/>
      <c r="BX158" s="77"/>
      <c r="BY158" s="72">
        <f t="shared" si="162"/>
        <v>0</v>
      </c>
      <c r="BZ158" s="182">
        <v>8.8000000000000007</v>
      </c>
      <c r="CA158" s="77">
        <v>14.62</v>
      </c>
      <c r="CB158" s="77">
        <v>13.65</v>
      </c>
      <c r="CC158" s="77">
        <v>8.5299999999999994</v>
      </c>
      <c r="CD158" s="65">
        <f t="shared" si="163"/>
        <v>96.931818181818159</v>
      </c>
      <c r="CE158" s="87">
        <v>0</v>
      </c>
      <c r="CF158" s="79">
        <f t="shared" si="164"/>
        <v>101.11236666666666</v>
      </c>
      <c r="CG158" s="80">
        <v>7.04</v>
      </c>
      <c r="CH158" s="77">
        <v>10.61</v>
      </c>
      <c r="CI158" s="77">
        <v>9.4700000000000006</v>
      </c>
      <c r="CJ158" s="77">
        <v>3.73</v>
      </c>
      <c r="CK158" s="59">
        <f t="shared" si="181"/>
        <v>52.98295454545454</v>
      </c>
      <c r="CL158" s="87">
        <v>0</v>
      </c>
      <c r="CM158" s="72">
        <f t="shared" si="165"/>
        <v>36.746399999999994</v>
      </c>
      <c r="CN158" s="81">
        <f t="shared" si="166"/>
        <v>1</v>
      </c>
      <c r="CO158" s="59">
        <f t="shared" si="167"/>
        <v>38.176536000000006</v>
      </c>
      <c r="CP158" s="59">
        <f t="shared" si="168"/>
        <v>1</v>
      </c>
      <c r="CQ158" s="59">
        <f t="shared" si="169"/>
        <v>12.427817999999998</v>
      </c>
      <c r="CR158" s="59">
        <f>IF(AV158&gt;0,'Look Ups'!$L$3,0)</f>
        <v>1</v>
      </c>
      <c r="CS158" s="59">
        <f t="shared" si="170"/>
        <v>0</v>
      </c>
      <c r="CT158" s="59">
        <f t="shared" si="182"/>
        <v>0</v>
      </c>
      <c r="CU158" s="59">
        <f t="shared" si="183"/>
        <v>0</v>
      </c>
      <c r="CV158" s="79">
        <f t="shared" si="184"/>
        <v>0</v>
      </c>
      <c r="CW158" s="82" t="str">
        <f t="shared" si="171"/>
        <v>valid</v>
      </c>
      <c r="CX158" s="65" t="str">
        <f t="shared" si="172"/>
        <v>valid</v>
      </c>
      <c r="CY158" s="66" t="str">
        <f t="shared" si="173"/>
        <v>MGScrSp</v>
      </c>
      <c r="CZ158" s="81">
        <f t="shared" si="174"/>
        <v>50.604354000000001</v>
      </c>
      <c r="DA158" s="59">
        <f t="shared" si="175"/>
        <v>26.605364599999998</v>
      </c>
      <c r="DB158" s="59">
        <f t="shared" si="176"/>
        <v>8.5115036999999987</v>
      </c>
      <c r="DC158" s="59">
        <f t="shared" si="177"/>
        <v>26.161941856666662</v>
      </c>
      <c r="DD158" s="59">
        <f t="shared" si="178"/>
        <v>1.3375220099999998</v>
      </c>
      <c r="DE158" s="79">
        <f t="shared" si="179"/>
        <v>53.385215544000005</v>
      </c>
      <c r="DF158" s="83">
        <f t="shared" si="180"/>
        <v>78.10381786666666</v>
      </c>
    </row>
    <row r="159" spans="2:110" ht="16.5" customHeight="1" x14ac:dyDescent="0.25">
      <c r="B159" s="168"/>
      <c r="C159" s="47" t="s">
        <v>206</v>
      </c>
      <c r="D159" s="84" t="s">
        <v>207</v>
      </c>
      <c r="E159" s="49" t="s">
        <v>208</v>
      </c>
      <c r="F159" s="50">
        <f t="shared" si="151"/>
        <v>0.89675194452414952</v>
      </c>
      <c r="G159" s="50" t="str">
        <f t="shared" ca="1" si="152"/>
        <v>Yes</v>
      </c>
      <c r="H159" s="51" t="str">
        <f t="shared" si="153"/>
        <v>Main - Genoa - Screacher - Spinnaker</v>
      </c>
      <c r="I159" s="52">
        <v>41743</v>
      </c>
      <c r="J159" s="52">
        <v>41743</v>
      </c>
      <c r="K159" s="53" t="s">
        <v>174</v>
      </c>
      <c r="L159" s="53" t="s">
        <v>137</v>
      </c>
      <c r="M159" s="54"/>
      <c r="N159" s="75" t="s">
        <v>149</v>
      </c>
      <c r="O159" s="75"/>
      <c r="P159" s="85"/>
      <c r="Q159" s="57">
        <v>14.35</v>
      </c>
      <c r="R159" s="58"/>
      <c r="S159" s="59">
        <f t="shared" si="154"/>
        <v>0.35875000000000001</v>
      </c>
      <c r="T159" s="60">
        <v>0.05</v>
      </c>
      <c r="U159" s="60">
        <v>0.1</v>
      </c>
      <c r="V159" s="61">
        <f t="shared" si="155"/>
        <v>14.2</v>
      </c>
      <c r="W159" s="62">
        <f>IF(RL&gt;0,IF(RL&gt;'Look Ups'!R$7,'Look Ups'!R$8,('Look Ups'!R$3*RL^3+'Look Ups'!R$4*RL^2+'Look Ups'!R$5*RL+'Look Ups'!R$6)),0)</f>
        <v>0.3</v>
      </c>
      <c r="X159" s="63">
        <v>6164</v>
      </c>
      <c r="Y159" s="64"/>
      <c r="Z159" s="64"/>
      <c r="AA159" s="64"/>
      <c r="AB159" s="65">
        <f t="shared" si="156"/>
        <v>6164</v>
      </c>
      <c r="AC159" s="66">
        <f t="shared" si="157"/>
        <v>6164</v>
      </c>
      <c r="AD159" s="67" t="s">
        <v>129</v>
      </c>
      <c r="AE159" s="68" t="s">
        <v>130</v>
      </c>
      <c r="AF159" s="69" t="s">
        <v>161</v>
      </c>
      <c r="AG159" s="70">
        <f>IF(C159="",0,VLOOKUP(AD159,'Look Ups'!$B$3:$C$6,2,0)*VLOOKUP(AE159,'Look Ups'!$E$3:$F$5,2,0)*VLOOKUP(AF159,'Look Ups'!$H$3:$I$7,2,0))</f>
        <v>0.99</v>
      </c>
      <c r="AH159" s="71">
        <v>17.899999999999999</v>
      </c>
      <c r="AI159" s="60">
        <v>17.73</v>
      </c>
      <c r="AJ159" s="60">
        <v>4.9850000000000003</v>
      </c>
      <c r="AK159" s="60">
        <v>1.99</v>
      </c>
      <c r="AL159" s="60">
        <v>0.52</v>
      </c>
      <c r="AM159" s="60">
        <v>17.62</v>
      </c>
      <c r="AN159" s="60">
        <v>0.2</v>
      </c>
      <c r="AO159" s="60">
        <v>5.0999999999999996</v>
      </c>
      <c r="AP159" s="60">
        <v>5.5E-2</v>
      </c>
      <c r="AQ159" s="60"/>
      <c r="AR159" s="60" t="s">
        <v>132</v>
      </c>
      <c r="AS159" s="75"/>
      <c r="AT159" s="59">
        <f t="shared" si="158"/>
        <v>17.675000000000001</v>
      </c>
      <c r="AU159" s="59">
        <f t="shared" si="159"/>
        <v>0</v>
      </c>
      <c r="AV159" s="72">
        <f>IF(C159="",0,(0.5*(_ML1*LPM)+0.5*(_ML1*HB)+0.66*(P*PR)+0.66*(_ML2*RDM)+0.66*(E*ER))*VLOOKUP(BATT,'Look Ups'!$N$3:$O$4,2,0))</f>
        <v>71.022155999999995</v>
      </c>
      <c r="AW159" s="73"/>
      <c r="AX159" s="74"/>
      <c r="AY159" s="71">
        <v>16.399999999999999</v>
      </c>
      <c r="AZ159" s="60">
        <v>5.74</v>
      </c>
      <c r="BA159" s="60">
        <v>6.48</v>
      </c>
      <c r="BB159" s="60">
        <v>0.23</v>
      </c>
      <c r="BC159" s="60">
        <v>14.48</v>
      </c>
      <c r="BD159" s="60">
        <v>14.45</v>
      </c>
      <c r="BE159" s="60">
        <v>0.08</v>
      </c>
      <c r="BF159" s="60">
        <v>9.5000000000000001E-2</v>
      </c>
      <c r="BG159" s="60">
        <v>0</v>
      </c>
      <c r="BH159" s="75"/>
      <c r="BI159" s="72">
        <f t="shared" si="160"/>
        <v>49.536878999999999</v>
      </c>
      <c r="BJ159" s="76"/>
      <c r="BK159" s="77"/>
      <c r="BL159" s="78"/>
      <c r="BM159" s="78"/>
      <c r="BN159" s="77"/>
      <c r="BO159" s="78"/>
      <c r="BP159" s="78"/>
      <c r="BQ159" s="79">
        <f t="shared" si="161"/>
        <v>0</v>
      </c>
      <c r="BR159" s="80"/>
      <c r="BS159" s="77"/>
      <c r="BT159" s="77"/>
      <c r="BU159" s="77"/>
      <c r="BV159" s="77"/>
      <c r="BW159" s="77"/>
      <c r="BX159" s="77"/>
      <c r="BY159" s="72">
        <f t="shared" si="162"/>
        <v>0</v>
      </c>
      <c r="BZ159" s="73">
        <v>10.79</v>
      </c>
      <c r="CA159" s="60">
        <v>19.43</v>
      </c>
      <c r="CB159" s="60">
        <v>18.315000000000001</v>
      </c>
      <c r="CC159" s="60">
        <v>9.8699999999999992</v>
      </c>
      <c r="CD159" s="65">
        <f t="shared" si="163"/>
        <v>91.473586654309543</v>
      </c>
      <c r="CE159" s="75"/>
      <c r="CF159" s="79">
        <f t="shared" si="164"/>
        <v>158.12009583333332</v>
      </c>
      <c r="CG159" s="71">
        <v>8</v>
      </c>
      <c r="CH159" s="60">
        <v>17.670000000000002</v>
      </c>
      <c r="CI159" s="60">
        <v>15.79</v>
      </c>
      <c r="CJ159" s="60">
        <v>4.1100000000000003</v>
      </c>
      <c r="CK159" s="59">
        <f t="shared" si="181"/>
        <v>51.375000000000007</v>
      </c>
      <c r="CL159" s="75"/>
      <c r="CM159" s="72">
        <f t="shared" si="165"/>
        <v>68.146866666666668</v>
      </c>
      <c r="CN159" s="81">
        <f t="shared" si="166"/>
        <v>1</v>
      </c>
      <c r="CO159" s="59">
        <f t="shared" si="167"/>
        <v>71.022155999999995</v>
      </c>
      <c r="CP159" s="59">
        <f t="shared" si="168"/>
        <v>1</v>
      </c>
      <c r="CQ159" s="59">
        <f t="shared" si="169"/>
        <v>49.536878999999999</v>
      </c>
      <c r="CR159" s="59">
        <f>IF(AV159&gt;0,'Look Ups'!$L$3,0)</f>
        <v>1</v>
      </c>
      <c r="CS159" s="59">
        <f t="shared" si="170"/>
        <v>0</v>
      </c>
      <c r="CT159" s="59">
        <f t="shared" si="182"/>
        <v>0</v>
      </c>
      <c r="CU159" s="59">
        <f t="shared" si="183"/>
        <v>0</v>
      </c>
      <c r="CV159" s="79">
        <f t="shared" si="184"/>
        <v>0</v>
      </c>
      <c r="CW159" s="82" t="str">
        <f t="shared" si="171"/>
        <v>valid</v>
      </c>
      <c r="CX159" s="65" t="str">
        <f t="shared" si="172"/>
        <v>valid</v>
      </c>
      <c r="CY159" s="66" t="str">
        <f t="shared" si="173"/>
        <v>MGScrSp</v>
      </c>
      <c r="CZ159" s="81">
        <f t="shared" si="174"/>
        <v>120.55903499999999</v>
      </c>
      <c r="DA159" s="59">
        <f t="shared" si="175"/>
        <v>32.574965049999996</v>
      </c>
      <c r="DB159" s="59">
        <f t="shared" si="176"/>
        <v>6.5134956833333337</v>
      </c>
      <c r="DC159" s="59">
        <f t="shared" si="177"/>
        <v>32.032048965833326</v>
      </c>
      <c r="DD159" s="59">
        <f t="shared" si="178"/>
        <v>1.0235493216666669</v>
      </c>
      <c r="DE159" s="79">
        <f t="shared" si="179"/>
        <v>122.879444916</v>
      </c>
      <c r="DF159" s="83">
        <f t="shared" si="180"/>
        <v>153.6146332875</v>
      </c>
    </row>
    <row r="160" spans="2:110" ht="16.5" customHeight="1" x14ac:dyDescent="0.25">
      <c r="B160" s="47"/>
      <c r="C160" s="168" t="s">
        <v>585</v>
      </c>
      <c r="D160" s="184"/>
      <c r="E160" s="170" t="s">
        <v>586</v>
      </c>
      <c r="F160" s="50">
        <f t="shared" si="151"/>
        <v>0.73425582986063664</v>
      </c>
      <c r="G160" s="50" t="str">
        <f t="shared" ca="1" si="152"/>
        <v>No</v>
      </c>
      <c r="H160" s="51" t="str">
        <f t="shared" si="153"/>
        <v>Main - Genoa - Spinnaker</v>
      </c>
      <c r="I160" s="171">
        <v>37622</v>
      </c>
      <c r="J160" s="171"/>
      <c r="K160" s="172" t="s">
        <v>587</v>
      </c>
      <c r="L160" s="172" t="s">
        <v>587</v>
      </c>
      <c r="M160" s="171"/>
      <c r="N160" s="87" t="s">
        <v>149</v>
      </c>
      <c r="O160" s="87"/>
      <c r="P160" s="185"/>
      <c r="Q160" s="175">
        <v>6.9</v>
      </c>
      <c r="R160" s="78"/>
      <c r="S160" s="59">
        <f t="shared" si="154"/>
        <v>0.17250000000000001</v>
      </c>
      <c r="T160" s="176">
        <v>0.21</v>
      </c>
      <c r="U160" s="176">
        <v>0</v>
      </c>
      <c r="V160" s="61">
        <f t="shared" si="155"/>
        <v>6.69</v>
      </c>
      <c r="W160" s="62">
        <f>IF(RL&gt;0,IF(RL&gt;'Look Ups'!R$7,'Look Ups'!R$8,('Look Ups'!R$3*RL^3+'Look Ups'!R$4*RL^2+'Look Ups'!R$5*RL+'Look Ups'!R$6)),0)</f>
        <v>0.28817726419700007</v>
      </c>
      <c r="X160" s="177">
        <v>800</v>
      </c>
      <c r="Y160" s="178">
        <v>0</v>
      </c>
      <c r="Z160" s="178"/>
      <c r="AA160" s="178"/>
      <c r="AB160" s="65">
        <f t="shared" si="156"/>
        <v>800</v>
      </c>
      <c r="AC160" s="66">
        <f t="shared" si="157"/>
        <v>800</v>
      </c>
      <c r="AD160" s="179" t="s">
        <v>129</v>
      </c>
      <c r="AE160" s="180" t="s">
        <v>130</v>
      </c>
      <c r="AF160" s="181" t="s">
        <v>131</v>
      </c>
      <c r="AG160" s="70">
        <f>IF(C160="",0,VLOOKUP(AD160,'Look Ups'!$B$3:$C$6,2,0)*VLOOKUP(AE160,'Look Ups'!$E$3:$F$5,2,0)*VLOOKUP(AF160,'Look Ups'!$H$3:$I$7,2,0))</f>
        <v>1</v>
      </c>
      <c r="AH160" s="80">
        <v>8.49</v>
      </c>
      <c r="AI160" s="77">
        <v>7.8</v>
      </c>
      <c r="AJ160" s="77">
        <v>2.2800000000000002</v>
      </c>
      <c r="AK160" s="77">
        <v>0.60000000000000009</v>
      </c>
      <c r="AL160" s="77">
        <v>0.60000000000000009</v>
      </c>
      <c r="AM160" s="77">
        <v>8.58</v>
      </c>
      <c r="AN160" s="77">
        <v>0</v>
      </c>
      <c r="AO160" s="77">
        <v>2.34</v>
      </c>
      <c r="AP160" s="77">
        <v>0</v>
      </c>
      <c r="AQ160" s="77">
        <v>0.4</v>
      </c>
      <c r="AR160" s="77" t="s">
        <v>132</v>
      </c>
      <c r="AS160" s="87">
        <v>0</v>
      </c>
      <c r="AT160" s="59">
        <f t="shared" si="158"/>
        <v>8.58</v>
      </c>
      <c r="AU160" s="59">
        <f t="shared" si="159"/>
        <v>1.2870000000000001</v>
      </c>
      <c r="AV160" s="72">
        <f>IF(C160="",0,(0.5*(_ML1*LPM)+0.5*(_ML1*HB)+0.66*(P*PR)+0.66*(_ML2*RDM)+0.66*(E*ER))*VLOOKUP(BATT,'Look Ups'!$N$3:$O$4,2,0))</f>
        <v>15.314400000000003</v>
      </c>
      <c r="AW160" s="182"/>
      <c r="AX160" s="183"/>
      <c r="AY160" s="80">
        <v>7.67</v>
      </c>
      <c r="AZ160" s="77">
        <v>2.66</v>
      </c>
      <c r="BA160" s="77">
        <v>3</v>
      </c>
      <c r="BB160" s="77">
        <v>0.05</v>
      </c>
      <c r="BC160" s="77">
        <v>6.78</v>
      </c>
      <c r="BD160" s="77"/>
      <c r="BE160" s="77"/>
      <c r="BF160" s="77">
        <v>-0.16</v>
      </c>
      <c r="BG160" s="77">
        <v>0</v>
      </c>
      <c r="BH160" s="87">
        <v>0</v>
      </c>
      <c r="BI160" s="72">
        <f t="shared" si="160"/>
        <v>9.5841320000000003</v>
      </c>
      <c r="BJ160" s="76"/>
      <c r="BK160" s="77"/>
      <c r="BL160" s="78"/>
      <c r="BM160" s="78"/>
      <c r="BN160" s="77"/>
      <c r="BO160" s="78"/>
      <c r="BP160" s="78"/>
      <c r="BQ160" s="79">
        <f t="shared" si="161"/>
        <v>0</v>
      </c>
      <c r="BR160" s="80"/>
      <c r="BS160" s="77"/>
      <c r="BT160" s="77"/>
      <c r="BU160" s="77"/>
      <c r="BV160" s="77"/>
      <c r="BW160" s="77"/>
      <c r="BX160" s="77"/>
      <c r="BY160" s="72">
        <f t="shared" si="162"/>
        <v>0</v>
      </c>
      <c r="BZ160" s="182">
        <v>5.43</v>
      </c>
      <c r="CA160" s="77">
        <v>8.5</v>
      </c>
      <c r="CB160" s="77">
        <v>6.58</v>
      </c>
      <c r="CC160" s="77">
        <v>4.5199999999999996</v>
      </c>
      <c r="CD160" s="65">
        <f t="shared" si="163"/>
        <v>83.241252302025785</v>
      </c>
      <c r="CE160" s="87">
        <v>0</v>
      </c>
      <c r="CF160" s="79">
        <f t="shared" si="164"/>
        <v>29.544233333333331</v>
      </c>
      <c r="CG160" s="80"/>
      <c r="CH160" s="77"/>
      <c r="CI160" s="77"/>
      <c r="CJ160" s="77"/>
      <c r="CK160" s="59" t="str">
        <f t="shared" si="181"/>
        <v/>
      </c>
      <c r="CL160" s="87">
        <v>0</v>
      </c>
      <c r="CM160" s="72">
        <f t="shared" si="165"/>
        <v>0</v>
      </c>
      <c r="CN160" s="81">
        <f t="shared" si="166"/>
        <v>1</v>
      </c>
      <c r="CO160" s="59">
        <f t="shared" si="167"/>
        <v>16.601400000000002</v>
      </c>
      <c r="CP160" s="59">
        <f t="shared" si="168"/>
        <v>1</v>
      </c>
      <c r="CQ160" s="59">
        <f t="shared" si="169"/>
        <v>9.5841320000000003</v>
      </c>
      <c r="CR160" s="59">
        <f>IF(AV160&gt;0,'Look Ups'!$L$3,0)</f>
        <v>1</v>
      </c>
      <c r="CS160" s="59">
        <f t="shared" si="170"/>
        <v>0</v>
      </c>
      <c r="CT160" s="59">
        <f t="shared" si="182"/>
        <v>0</v>
      </c>
      <c r="CU160" s="59">
        <f t="shared" si="183"/>
        <v>0</v>
      </c>
      <c r="CV160" s="79">
        <f t="shared" si="184"/>
        <v>0</v>
      </c>
      <c r="CW160" s="82" t="str">
        <f t="shared" si="171"/>
        <v>-</v>
      </c>
      <c r="CX160" s="65" t="str">
        <f t="shared" si="172"/>
        <v>valid</v>
      </c>
      <c r="CY160" s="66" t="str">
        <f t="shared" si="173"/>
        <v>MGSp</v>
      </c>
      <c r="CZ160" s="81">
        <f t="shared" si="174"/>
        <v>26.185532000000002</v>
      </c>
      <c r="DA160" s="59">
        <f t="shared" si="175"/>
        <v>5.9880303999999986</v>
      </c>
      <c r="DB160" s="59">
        <f t="shared" si="176"/>
        <v>0</v>
      </c>
      <c r="DC160" s="59">
        <f t="shared" si="177"/>
        <v>5.8882298933333326</v>
      </c>
      <c r="DD160" s="59">
        <f t="shared" si="178"/>
        <v>0</v>
      </c>
      <c r="DE160" s="79">
        <f t="shared" si="179"/>
        <v>26.943396944000003</v>
      </c>
      <c r="DF160" s="83">
        <f t="shared" si="180"/>
        <v>32.173562400000002</v>
      </c>
    </row>
    <row r="161" spans="2:110" ht="16.5" customHeight="1" x14ac:dyDescent="0.25">
      <c r="B161" s="168"/>
      <c r="C161" s="47" t="s">
        <v>209</v>
      </c>
      <c r="D161" s="84" t="s">
        <v>210</v>
      </c>
      <c r="E161" s="49" t="s">
        <v>211</v>
      </c>
      <c r="F161" s="50">
        <f t="shared" si="151"/>
        <v>0.85630673721051986</v>
      </c>
      <c r="G161" s="50" t="str">
        <f t="shared" ca="1" si="152"/>
        <v>No</v>
      </c>
      <c r="H161" s="51" t="str">
        <f t="shared" si="153"/>
        <v>Main - Genoa - Spinnaker</v>
      </c>
      <c r="I161" s="52">
        <v>38741</v>
      </c>
      <c r="J161" s="52"/>
      <c r="K161" s="53"/>
      <c r="L161" s="53" t="s">
        <v>212</v>
      </c>
      <c r="M161" s="54"/>
      <c r="N161" s="55" t="s">
        <v>127</v>
      </c>
      <c r="O161" s="55" t="s">
        <v>128</v>
      </c>
      <c r="P161" s="85"/>
      <c r="Q161" s="57">
        <v>9.4600000000000009</v>
      </c>
      <c r="R161" s="58"/>
      <c r="S161" s="59">
        <f t="shared" si="154"/>
        <v>0.23650000000000004</v>
      </c>
      <c r="T161" s="60">
        <v>0.05</v>
      </c>
      <c r="U161" s="60">
        <v>0</v>
      </c>
      <c r="V161" s="61">
        <f t="shared" si="155"/>
        <v>9.41</v>
      </c>
      <c r="W161" s="62">
        <f>IF(RL&gt;0,IF(RL&gt;'Look Ups'!R$7,'Look Ups'!R$8,('Look Ups'!R$3*RL^3+'Look Ups'!R$4*RL^2+'Look Ups'!R$5*RL+'Look Ups'!R$6)),0)</f>
        <v>0.29752450149300003</v>
      </c>
      <c r="X161" s="63">
        <v>2080</v>
      </c>
      <c r="Y161" s="64"/>
      <c r="Z161" s="64"/>
      <c r="AA161" s="64"/>
      <c r="AB161" s="65">
        <f t="shared" si="156"/>
        <v>2080</v>
      </c>
      <c r="AC161" s="66">
        <f t="shared" si="157"/>
        <v>2080</v>
      </c>
      <c r="AD161" s="67" t="s">
        <v>129</v>
      </c>
      <c r="AE161" s="68" t="s">
        <v>130</v>
      </c>
      <c r="AF161" s="69" t="s">
        <v>131</v>
      </c>
      <c r="AG161" s="70">
        <f>IF(C161="",0,VLOOKUP(AD161,'Look Ups'!$B$3:$C$6,2,0)*VLOOKUP(AE161,'Look Ups'!$E$3:$F$5,2,0)*VLOOKUP(AF161,'Look Ups'!$H$3:$I$7,2,0))</f>
        <v>1</v>
      </c>
      <c r="AH161" s="71">
        <v>11.88</v>
      </c>
      <c r="AI161" s="60">
        <v>11.63</v>
      </c>
      <c r="AJ161" s="60">
        <v>4.28</v>
      </c>
      <c r="AK161" s="60">
        <v>1</v>
      </c>
      <c r="AL161" s="60">
        <v>0.69</v>
      </c>
      <c r="AM161" s="60">
        <v>11.28</v>
      </c>
      <c r="AN161" s="60">
        <v>0.12</v>
      </c>
      <c r="AO161" s="60">
        <v>4.3</v>
      </c>
      <c r="AP161" s="60">
        <v>0.03</v>
      </c>
      <c r="AQ161" s="60"/>
      <c r="AR161" s="60" t="s">
        <v>132</v>
      </c>
      <c r="AS161" s="75"/>
      <c r="AT161" s="59">
        <f t="shared" si="158"/>
        <v>11.309999999999999</v>
      </c>
      <c r="AU161" s="59">
        <f t="shared" si="159"/>
        <v>0</v>
      </c>
      <c r="AV161" s="72">
        <f>IF(C161="",0,(0.5*(_ML1*LPM)+0.5*(_ML1*HB)+0.66*(P*PR)+0.66*(_ML2*RDM)+0.66*(E*ER))*VLOOKUP(BATT,'Look Ups'!$N$3:$O$4,2,0))</f>
        <v>37.63801800000001</v>
      </c>
      <c r="AW161" s="73"/>
      <c r="AX161" s="74"/>
      <c r="AY161" s="71">
        <v>10.45</v>
      </c>
      <c r="AZ161" s="60">
        <v>3.24</v>
      </c>
      <c r="BA161" s="60">
        <v>3.7</v>
      </c>
      <c r="BB161" s="60">
        <v>0.1</v>
      </c>
      <c r="BC161" s="60">
        <v>9.5500000000000007</v>
      </c>
      <c r="BD161" s="60"/>
      <c r="BE161" s="60"/>
      <c r="BF161" s="60">
        <v>-0.09</v>
      </c>
      <c r="BG161" s="60">
        <v>-0.2</v>
      </c>
      <c r="BH161" s="75" t="s">
        <v>165</v>
      </c>
      <c r="BI161" s="72">
        <f t="shared" si="160"/>
        <v>15.226529999999997</v>
      </c>
      <c r="BJ161" s="76"/>
      <c r="BK161" s="77"/>
      <c r="BL161" s="78"/>
      <c r="BM161" s="78"/>
      <c r="BN161" s="77"/>
      <c r="BO161" s="78"/>
      <c r="BP161" s="78"/>
      <c r="BQ161" s="79">
        <f t="shared" si="161"/>
        <v>0</v>
      </c>
      <c r="BR161" s="80"/>
      <c r="BS161" s="77"/>
      <c r="BT161" s="77"/>
      <c r="BU161" s="77"/>
      <c r="BV161" s="77"/>
      <c r="BW161" s="77"/>
      <c r="BX161" s="77"/>
      <c r="BY161" s="72">
        <f t="shared" si="162"/>
        <v>0</v>
      </c>
      <c r="BZ161" s="73">
        <v>8.5</v>
      </c>
      <c r="CA161" s="60">
        <v>13.9</v>
      </c>
      <c r="CB161" s="60">
        <v>12.64</v>
      </c>
      <c r="CC161" s="60">
        <v>8.4</v>
      </c>
      <c r="CD161" s="65">
        <f t="shared" si="163"/>
        <v>98.82352941176471</v>
      </c>
      <c r="CE161" s="75"/>
      <c r="CF161" s="79">
        <f t="shared" si="164"/>
        <v>93.111166666666662</v>
      </c>
      <c r="CG161" s="71"/>
      <c r="CH161" s="60"/>
      <c r="CI161" s="60"/>
      <c r="CJ161" s="60"/>
      <c r="CK161" s="59" t="str">
        <f t="shared" si="181"/>
        <v/>
      </c>
      <c r="CL161" s="75"/>
      <c r="CM161" s="72">
        <f t="shared" si="165"/>
        <v>0</v>
      </c>
      <c r="CN161" s="81">
        <f t="shared" si="166"/>
        <v>1</v>
      </c>
      <c r="CO161" s="59">
        <f t="shared" si="167"/>
        <v>37.63801800000001</v>
      </c>
      <c r="CP161" s="59">
        <f t="shared" si="168"/>
        <v>1</v>
      </c>
      <c r="CQ161" s="59">
        <f t="shared" si="169"/>
        <v>15.226529999999997</v>
      </c>
      <c r="CR161" s="59">
        <f>IF(AV161&gt;0,'Look Ups'!$L$3,0)</f>
        <v>1</v>
      </c>
      <c r="CS161" s="59">
        <f t="shared" si="170"/>
        <v>0</v>
      </c>
      <c r="CT161" s="59">
        <f t="shared" si="182"/>
        <v>0</v>
      </c>
      <c r="CU161" s="59">
        <f t="shared" si="183"/>
        <v>0</v>
      </c>
      <c r="CV161" s="79">
        <f t="shared" si="184"/>
        <v>0</v>
      </c>
      <c r="CW161" s="82" t="str">
        <f t="shared" si="171"/>
        <v>-</v>
      </c>
      <c r="CX161" s="65" t="str">
        <f t="shared" si="172"/>
        <v>valid</v>
      </c>
      <c r="CY161" s="66" t="str">
        <f t="shared" si="173"/>
        <v>MGSp</v>
      </c>
      <c r="CZ161" s="81">
        <f t="shared" si="174"/>
        <v>52.864548000000006</v>
      </c>
      <c r="DA161" s="59">
        <f t="shared" si="175"/>
        <v>23.365390999999999</v>
      </c>
      <c r="DB161" s="59">
        <f t="shared" si="176"/>
        <v>0</v>
      </c>
      <c r="DC161" s="59">
        <f t="shared" si="177"/>
        <v>22.975967816666664</v>
      </c>
      <c r="DD161" s="59">
        <f t="shared" si="178"/>
        <v>0</v>
      </c>
      <c r="DE161" s="79">
        <f t="shared" si="179"/>
        <v>55.284988704000007</v>
      </c>
      <c r="DF161" s="83">
        <f t="shared" si="180"/>
        <v>76.229939000000002</v>
      </c>
    </row>
    <row r="162" spans="2:110" ht="16.5" customHeight="1" x14ac:dyDescent="0.25">
      <c r="B162" s="47"/>
      <c r="C162" s="168" t="s">
        <v>588</v>
      </c>
      <c r="D162" s="184"/>
      <c r="E162" s="170" t="s">
        <v>589</v>
      </c>
      <c r="F162" s="50">
        <f t="shared" si="151"/>
        <v>0.75038158366777241</v>
      </c>
      <c r="G162" s="50" t="str">
        <f t="shared" ca="1" si="152"/>
        <v>No</v>
      </c>
      <c r="H162" s="51" t="str">
        <f t="shared" si="153"/>
        <v>Main - Genoa - Spinnaker</v>
      </c>
      <c r="I162" s="171">
        <v>37988</v>
      </c>
      <c r="J162" s="171"/>
      <c r="K162" s="172" t="s">
        <v>587</v>
      </c>
      <c r="L162" s="172" t="s">
        <v>587</v>
      </c>
      <c r="M162" s="171"/>
      <c r="N162" s="87" t="s">
        <v>149</v>
      </c>
      <c r="O162" s="87"/>
      <c r="P162" s="185"/>
      <c r="Q162" s="175">
        <v>13.6</v>
      </c>
      <c r="R162" s="78"/>
      <c r="S162" s="59">
        <f t="shared" si="154"/>
        <v>0.34</v>
      </c>
      <c r="T162" s="176">
        <v>0.21</v>
      </c>
      <c r="U162" s="176">
        <v>0</v>
      </c>
      <c r="V162" s="61">
        <f t="shared" si="155"/>
        <v>13.389999999999999</v>
      </c>
      <c r="W162" s="62">
        <f>IF(RL&gt;0,IF(RL&gt;'Look Ups'!R$7,'Look Ups'!R$8,('Look Ups'!R$3*RL^3+'Look Ups'!R$4*RL^2+'Look Ups'!R$5*RL+'Look Ups'!R$6)),0)</f>
        <v>0.3</v>
      </c>
      <c r="X162" s="177">
        <v>7440</v>
      </c>
      <c r="Y162" s="178">
        <v>0</v>
      </c>
      <c r="Z162" s="178"/>
      <c r="AA162" s="178"/>
      <c r="AB162" s="65">
        <f t="shared" si="156"/>
        <v>7440</v>
      </c>
      <c r="AC162" s="66">
        <f t="shared" si="157"/>
        <v>7440</v>
      </c>
      <c r="AD162" s="179" t="s">
        <v>129</v>
      </c>
      <c r="AE162" s="180" t="s">
        <v>130</v>
      </c>
      <c r="AF162" s="181" t="s">
        <v>131</v>
      </c>
      <c r="AG162" s="70">
        <f>IF(C162="",0,VLOOKUP(AD162,'Look Ups'!$B$3:$C$6,2,0)*VLOOKUP(AE162,'Look Ups'!$E$3:$F$5,2,0)*VLOOKUP(AF162,'Look Ups'!$H$3:$I$7,2,0))</f>
        <v>1</v>
      </c>
      <c r="AH162" s="80">
        <v>14.85</v>
      </c>
      <c r="AI162" s="77">
        <v>13.92</v>
      </c>
      <c r="AJ162" s="77">
        <v>4.43</v>
      </c>
      <c r="AK162" s="77">
        <v>0.28000000000000003</v>
      </c>
      <c r="AL162" s="77">
        <v>0.66</v>
      </c>
      <c r="AM162" s="77">
        <v>13.88</v>
      </c>
      <c r="AN162" s="77">
        <v>-0.15</v>
      </c>
      <c r="AO162" s="77">
        <v>4.95</v>
      </c>
      <c r="AP162" s="77">
        <v>0.05</v>
      </c>
      <c r="AQ162" s="77">
        <v>0</v>
      </c>
      <c r="AR162" s="77" t="s">
        <v>132</v>
      </c>
      <c r="AS162" s="87">
        <v>0</v>
      </c>
      <c r="AT162" s="59">
        <f t="shared" si="158"/>
        <v>13.930000000000001</v>
      </c>
      <c r="AU162" s="59">
        <f t="shared" si="159"/>
        <v>0</v>
      </c>
      <c r="AV162" s="72">
        <f>IF(C162="",0,(0.5*(_ML1*LPM)+0.5*(_ML1*HB)+0.66*(P*PR)+0.66*(_ML2*RDM)+0.66*(E*ER))*VLOOKUP(BATT,'Look Ups'!$N$3:$O$4,2,0))</f>
        <v>39.824532000000005</v>
      </c>
      <c r="AW162" s="182"/>
      <c r="AX162" s="183"/>
      <c r="AY162" s="80">
        <v>16.68</v>
      </c>
      <c r="AZ162" s="77">
        <v>5.54</v>
      </c>
      <c r="BA162" s="77">
        <v>6.27</v>
      </c>
      <c r="BB162" s="77">
        <v>0.15</v>
      </c>
      <c r="BC162" s="77">
        <v>14.87</v>
      </c>
      <c r="BD162" s="77"/>
      <c r="BE162" s="77"/>
      <c r="BF162" s="77">
        <v>-0.16</v>
      </c>
      <c r="BG162" s="77">
        <v>-0.17</v>
      </c>
      <c r="BH162" s="87">
        <v>0</v>
      </c>
      <c r="BI162" s="72">
        <f t="shared" si="160"/>
        <v>43.382562</v>
      </c>
      <c r="BJ162" s="76"/>
      <c r="BK162" s="77"/>
      <c r="BL162" s="78"/>
      <c r="BM162" s="78"/>
      <c r="BN162" s="77"/>
      <c r="BO162" s="78"/>
      <c r="BP162" s="78"/>
      <c r="BQ162" s="79">
        <f t="shared" si="161"/>
        <v>0</v>
      </c>
      <c r="BR162" s="80"/>
      <c r="BS162" s="77"/>
      <c r="BT162" s="77"/>
      <c r="BU162" s="77"/>
      <c r="BV162" s="77"/>
      <c r="BW162" s="77"/>
      <c r="BX162" s="77"/>
      <c r="BY162" s="72">
        <f t="shared" si="162"/>
        <v>0</v>
      </c>
      <c r="BZ162" s="182">
        <v>11.6</v>
      </c>
      <c r="CA162" s="77">
        <v>18.420000000000002</v>
      </c>
      <c r="CB162" s="77">
        <v>17.32</v>
      </c>
      <c r="CC162" s="77">
        <v>10.15</v>
      </c>
      <c r="CD162" s="65">
        <f t="shared" si="163"/>
        <v>87.500000000000014</v>
      </c>
      <c r="CE162" s="87">
        <v>0</v>
      </c>
      <c r="CF162" s="79">
        <f t="shared" si="164"/>
        <v>155.46899999999999</v>
      </c>
      <c r="CG162" s="80"/>
      <c r="CH162" s="77"/>
      <c r="CI162" s="77"/>
      <c r="CJ162" s="77"/>
      <c r="CK162" s="59" t="str">
        <f t="shared" si="181"/>
        <v/>
      </c>
      <c r="CL162" s="87">
        <v>0</v>
      </c>
      <c r="CM162" s="72">
        <f t="shared" si="165"/>
        <v>0</v>
      </c>
      <c r="CN162" s="81">
        <f t="shared" si="166"/>
        <v>1</v>
      </c>
      <c r="CO162" s="59">
        <f t="shared" si="167"/>
        <v>39.824532000000005</v>
      </c>
      <c r="CP162" s="59">
        <f t="shared" si="168"/>
        <v>1</v>
      </c>
      <c r="CQ162" s="59">
        <f t="shared" si="169"/>
        <v>43.382562</v>
      </c>
      <c r="CR162" s="59">
        <f>IF(AV162&gt;0,'Look Ups'!$L$3,0)</f>
        <v>1</v>
      </c>
      <c r="CS162" s="59">
        <f t="shared" si="170"/>
        <v>0</v>
      </c>
      <c r="CT162" s="59">
        <f t="shared" si="182"/>
        <v>0</v>
      </c>
      <c r="CU162" s="59">
        <f t="shared" si="183"/>
        <v>0</v>
      </c>
      <c r="CV162" s="79">
        <f t="shared" si="184"/>
        <v>0</v>
      </c>
      <c r="CW162" s="82" t="str">
        <f t="shared" si="171"/>
        <v>-</v>
      </c>
      <c r="CX162" s="65" t="str">
        <f t="shared" si="172"/>
        <v>valid</v>
      </c>
      <c r="CY162" s="66" t="str">
        <f t="shared" si="173"/>
        <v>MGSp</v>
      </c>
      <c r="CZ162" s="81">
        <f t="shared" si="174"/>
        <v>83.207094000000012</v>
      </c>
      <c r="DA162" s="59">
        <f t="shared" si="175"/>
        <v>33.625931399999992</v>
      </c>
      <c r="DB162" s="59">
        <f t="shared" si="176"/>
        <v>0</v>
      </c>
      <c r="DC162" s="59">
        <f t="shared" si="177"/>
        <v>33.065499209999992</v>
      </c>
      <c r="DD162" s="59">
        <f t="shared" si="178"/>
        <v>0</v>
      </c>
      <c r="DE162" s="79">
        <f t="shared" si="179"/>
        <v>82.822826760000012</v>
      </c>
      <c r="DF162" s="83">
        <f t="shared" si="180"/>
        <v>116.8330254</v>
      </c>
    </row>
    <row r="163" spans="2:110" ht="16.5" customHeight="1" x14ac:dyDescent="0.25">
      <c r="B163" s="168"/>
      <c r="C163" s="47" t="s">
        <v>216</v>
      </c>
      <c r="D163" s="48"/>
      <c r="E163" s="49" t="s">
        <v>217</v>
      </c>
      <c r="F163" s="50">
        <f t="shared" si="151"/>
        <v>0.77683673199021253</v>
      </c>
      <c r="G163" s="50" t="str">
        <f t="shared" ca="1" si="152"/>
        <v>No</v>
      </c>
      <c r="H163" s="51" t="str">
        <f t="shared" si="153"/>
        <v>Main - Genoa - Screacher - Spinnaker</v>
      </c>
      <c r="I163" s="52">
        <v>38394</v>
      </c>
      <c r="J163" s="52">
        <v>39521</v>
      </c>
      <c r="K163" s="53" t="s">
        <v>218</v>
      </c>
      <c r="L163" s="53" t="s">
        <v>219</v>
      </c>
      <c r="M163" s="54"/>
      <c r="N163" s="55" t="s">
        <v>149</v>
      </c>
      <c r="O163" s="55"/>
      <c r="P163" s="56"/>
      <c r="Q163" s="57">
        <v>11.21</v>
      </c>
      <c r="R163" s="58"/>
      <c r="S163" s="59">
        <f t="shared" si="154"/>
        <v>0.28025000000000005</v>
      </c>
      <c r="T163" s="60">
        <v>0</v>
      </c>
      <c r="U163" s="60">
        <v>0</v>
      </c>
      <c r="V163" s="61">
        <f t="shared" si="155"/>
        <v>11.21</v>
      </c>
      <c r="W163" s="62">
        <f>IF(RL&gt;0,IF(RL&gt;'Look Ups'!R$7,'Look Ups'!R$8,('Look Ups'!R$3*RL^3+'Look Ups'!R$4*RL^2+'Look Ups'!R$5*RL+'Look Ups'!R$6)),0)</f>
        <v>0.29965218051300002</v>
      </c>
      <c r="X163" s="63">
        <v>4697</v>
      </c>
      <c r="Y163" s="64"/>
      <c r="Z163" s="64"/>
      <c r="AA163" s="64"/>
      <c r="AB163" s="65">
        <f t="shared" si="156"/>
        <v>4697</v>
      </c>
      <c r="AC163" s="66">
        <f t="shared" si="157"/>
        <v>4697</v>
      </c>
      <c r="AD163" s="67" t="s">
        <v>129</v>
      </c>
      <c r="AE163" s="68" t="s">
        <v>130</v>
      </c>
      <c r="AF163" s="69" t="s">
        <v>161</v>
      </c>
      <c r="AG163" s="70">
        <f>IF(C163="",0,VLOOKUP(AD163,'Look Ups'!$B$3:$C$6,2,0)*VLOOKUP(AE163,'Look Ups'!$E$3:$F$5,2,0)*VLOOKUP(AF163,'Look Ups'!$H$3:$I$7,2,0))</f>
        <v>0.99</v>
      </c>
      <c r="AH163" s="71">
        <v>14.36</v>
      </c>
      <c r="AI163" s="60">
        <v>13.94</v>
      </c>
      <c r="AJ163" s="60">
        <v>5.0999999999999996</v>
      </c>
      <c r="AK163" s="60">
        <v>1.1299999999999999</v>
      </c>
      <c r="AL163" s="60">
        <v>0.8</v>
      </c>
      <c r="AM163" s="60">
        <v>13.88</v>
      </c>
      <c r="AN163" s="60">
        <v>0.16</v>
      </c>
      <c r="AO163" s="60">
        <v>5.33</v>
      </c>
      <c r="AP163" s="60">
        <v>0.04</v>
      </c>
      <c r="AQ163" s="60"/>
      <c r="AR163" s="60" t="s">
        <v>132</v>
      </c>
      <c r="AS163" s="75"/>
      <c r="AT163" s="59">
        <f t="shared" si="158"/>
        <v>13.92</v>
      </c>
      <c r="AU163" s="59">
        <f t="shared" si="159"/>
        <v>0</v>
      </c>
      <c r="AV163" s="72">
        <f>IF(C163="",0,(0.5*(_ML1*LPM)+0.5*(_ML1*HB)+0.66*(P*PR)+0.66*(_ML2*RDM)+0.66*(E*ER))*VLOOKUP(BATT,'Look Ups'!$N$3:$O$4,2,0))</f>
        <v>53.698159999999994</v>
      </c>
      <c r="AW163" s="73"/>
      <c r="AX163" s="74"/>
      <c r="AY163" s="71">
        <v>13.35</v>
      </c>
      <c r="AZ163" s="60">
        <v>3.04</v>
      </c>
      <c r="BA163" s="60">
        <v>3.35</v>
      </c>
      <c r="BB163" s="60">
        <v>0.06</v>
      </c>
      <c r="BC163" s="60">
        <v>12.3</v>
      </c>
      <c r="BD163" s="60"/>
      <c r="BE163" s="60"/>
      <c r="BF163" s="60">
        <v>0.09</v>
      </c>
      <c r="BG163" s="60">
        <v>0.06</v>
      </c>
      <c r="BH163" s="75" t="s">
        <v>165</v>
      </c>
      <c r="BI163" s="72">
        <f t="shared" si="160"/>
        <v>21.68394</v>
      </c>
      <c r="BJ163" s="76"/>
      <c r="BK163" s="77"/>
      <c r="BL163" s="78"/>
      <c r="BM163" s="78"/>
      <c r="BN163" s="77"/>
      <c r="BO163" s="78"/>
      <c r="BP163" s="78"/>
      <c r="BQ163" s="79">
        <f t="shared" si="161"/>
        <v>0</v>
      </c>
      <c r="BR163" s="80"/>
      <c r="BS163" s="77"/>
      <c r="BT163" s="77"/>
      <c r="BU163" s="77"/>
      <c r="BV163" s="77"/>
      <c r="BW163" s="77"/>
      <c r="BX163" s="77"/>
      <c r="BY163" s="72">
        <f t="shared" si="162"/>
        <v>0</v>
      </c>
      <c r="BZ163" s="73">
        <v>8.93</v>
      </c>
      <c r="CA163" s="60">
        <v>16.32</v>
      </c>
      <c r="CB163" s="60">
        <v>14.31</v>
      </c>
      <c r="CC163" s="60">
        <v>8.3000000000000007</v>
      </c>
      <c r="CD163" s="65">
        <f t="shared" si="163"/>
        <v>92.945128779395304</v>
      </c>
      <c r="CE163" s="60"/>
      <c r="CF163" s="79">
        <f t="shared" si="164"/>
        <v>107.53682500000002</v>
      </c>
      <c r="CG163" s="71">
        <v>7.37</v>
      </c>
      <c r="CH163" s="60">
        <v>14</v>
      </c>
      <c r="CI163" s="60">
        <v>11.8</v>
      </c>
      <c r="CJ163" s="60">
        <v>5.4</v>
      </c>
      <c r="CK163" s="59">
        <f t="shared" si="181"/>
        <v>73.270013568521037</v>
      </c>
      <c r="CL163" s="60"/>
      <c r="CM163" s="72">
        <f t="shared" si="165"/>
        <v>62.285500000000006</v>
      </c>
      <c r="CN163" s="81">
        <f t="shared" si="166"/>
        <v>1</v>
      </c>
      <c r="CO163" s="59">
        <f t="shared" si="167"/>
        <v>53.698160000000001</v>
      </c>
      <c r="CP163" s="59">
        <f t="shared" si="168"/>
        <v>1</v>
      </c>
      <c r="CQ163" s="59">
        <f t="shared" si="169"/>
        <v>21.68394</v>
      </c>
      <c r="CR163" s="59">
        <f>IF(AV163&gt;0,'Look Ups'!$L$3,0)</f>
        <v>1</v>
      </c>
      <c r="CS163" s="59">
        <f t="shared" si="170"/>
        <v>0</v>
      </c>
      <c r="CT163" s="59">
        <f t="shared" si="182"/>
        <v>0</v>
      </c>
      <c r="CU163" s="59">
        <f t="shared" si="183"/>
        <v>0</v>
      </c>
      <c r="CV163" s="79">
        <f t="shared" si="184"/>
        <v>0</v>
      </c>
      <c r="CW163" s="82" t="str">
        <f t="shared" si="171"/>
        <v>valid</v>
      </c>
      <c r="CX163" s="65" t="str">
        <f t="shared" si="172"/>
        <v>valid</v>
      </c>
      <c r="CY163" s="66" t="str">
        <f t="shared" si="173"/>
        <v>MGScrSp</v>
      </c>
      <c r="CZ163" s="81">
        <f t="shared" si="174"/>
        <v>75.382100000000008</v>
      </c>
      <c r="DA163" s="59">
        <f t="shared" si="175"/>
        <v>25.755865500000002</v>
      </c>
      <c r="DB163" s="59">
        <f t="shared" si="176"/>
        <v>14.210546000000001</v>
      </c>
      <c r="DC163" s="59">
        <f t="shared" si="177"/>
        <v>25.326601075000003</v>
      </c>
      <c r="DD163" s="59">
        <f t="shared" si="178"/>
        <v>2.2330858000000005</v>
      </c>
      <c r="DE163" s="79">
        <f t="shared" si="179"/>
        <v>78.839635760000007</v>
      </c>
      <c r="DF163" s="83">
        <f t="shared" si="180"/>
        <v>102.94178687500001</v>
      </c>
    </row>
    <row r="164" spans="2:110" ht="16.5" customHeight="1" x14ac:dyDescent="0.25">
      <c r="B164" s="47"/>
      <c r="C164" s="47" t="s">
        <v>891</v>
      </c>
      <c r="D164" s="48" t="s">
        <v>308</v>
      </c>
      <c r="E164" s="49" t="s">
        <v>265</v>
      </c>
      <c r="F164" s="50">
        <f t="shared" si="151"/>
        <v>1.1000146353168918</v>
      </c>
      <c r="G164" s="50" t="str">
        <f t="shared" ca="1" si="152"/>
        <v>Yes</v>
      </c>
      <c r="H164" s="51" t="str">
        <f t="shared" si="153"/>
        <v>Main - Genoa - Screacher</v>
      </c>
      <c r="I164" s="52">
        <v>43007</v>
      </c>
      <c r="J164" s="52">
        <v>42989</v>
      </c>
      <c r="K164" s="53" t="s">
        <v>187</v>
      </c>
      <c r="L164" s="53" t="s">
        <v>841</v>
      </c>
      <c r="M164" s="54"/>
      <c r="N164" s="55" t="s">
        <v>149</v>
      </c>
      <c r="O164" s="55"/>
      <c r="P164" s="56"/>
      <c r="Q164" s="57">
        <v>11.23</v>
      </c>
      <c r="R164" s="58"/>
      <c r="S164" s="59">
        <f t="shared" si="154"/>
        <v>0.28075</v>
      </c>
      <c r="T164" s="60">
        <v>0</v>
      </c>
      <c r="U164" s="60">
        <v>0</v>
      </c>
      <c r="V164" s="61">
        <f t="shared" si="155"/>
        <v>11.23</v>
      </c>
      <c r="W164" s="62">
        <f>IF(RL&gt;0,IF(RL&gt;'Look Ups'!R$7,'Look Ups'!R$8,('Look Ups'!R$3*RL^3+'Look Ups'!R$4*RL^2+'Look Ups'!R$5*RL+'Look Ups'!R$6)),0)</f>
        <v>0.29966311961100001</v>
      </c>
      <c r="X164" s="63">
        <v>1434</v>
      </c>
      <c r="Y164" s="206"/>
      <c r="Z164" s="64"/>
      <c r="AA164" s="64"/>
      <c r="AB164" s="65">
        <f t="shared" si="156"/>
        <v>1434</v>
      </c>
      <c r="AC164" s="66">
        <f t="shared" si="157"/>
        <v>1434</v>
      </c>
      <c r="AD164" s="67" t="s">
        <v>129</v>
      </c>
      <c r="AE164" s="68" t="s">
        <v>130</v>
      </c>
      <c r="AF164" s="69" t="s">
        <v>131</v>
      </c>
      <c r="AG164" s="70">
        <f>IF(C164="",0,VLOOKUP(AD164,'Look Ups'!$B$3:$C$6,2,0)*VLOOKUP(AE164,'Look Ups'!$E$3:$F$5,2,0)*VLOOKUP(AF164,'Look Ups'!$H$3:$I$7,2,0))</f>
        <v>1</v>
      </c>
      <c r="AH164" s="71">
        <v>16.07</v>
      </c>
      <c r="AI164" s="60">
        <v>15.8</v>
      </c>
      <c r="AJ164" s="60">
        <v>4.42</v>
      </c>
      <c r="AK164" s="60">
        <v>2.38</v>
      </c>
      <c r="AL164" s="60">
        <v>0.12</v>
      </c>
      <c r="AM164" s="60">
        <v>15.91</v>
      </c>
      <c r="AN164" s="60">
        <v>0.12</v>
      </c>
      <c r="AO164" s="60">
        <v>4.43</v>
      </c>
      <c r="AP164" s="60">
        <v>0.06</v>
      </c>
      <c r="AQ164" s="60">
        <v>0.77</v>
      </c>
      <c r="AR164" s="60" t="s">
        <v>132</v>
      </c>
      <c r="AS164" s="75">
        <v>0</v>
      </c>
      <c r="AT164" s="59">
        <f t="shared" si="158"/>
        <v>15.97</v>
      </c>
      <c r="AU164" s="59">
        <f t="shared" si="159"/>
        <v>4.5940125000000007</v>
      </c>
      <c r="AV164" s="72">
        <f>IF(C164="",0,(0.5*(_ML1*LPM)+0.5*(_ML1*HB)+0.66*(P*PR)+0.66*(_ML2*RDM)+0.66*(E*ER))*VLOOKUP(BATT,'Look Ups'!$N$3:$O$4,2,0))</f>
        <v>57.324859999999994</v>
      </c>
      <c r="AW164" s="73"/>
      <c r="AX164" s="74"/>
      <c r="AY164" s="71">
        <v>10.62</v>
      </c>
      <c r="AZ164" s="60">
        <v>3.12</v>
      </c>
      <c r="BA164" s="60">
        <v>3.17</v>
      </c>
      <c r="BB164" s="60">
        <v>0.06</v>
      </c>
      <c r="BC164" s="60">
        <v>10.48</v>
      </c>
      <c r="BD164" s="60">
        <v>10.49</v>
      </c>
      <c r="BE164" s="60">
        <v>0.57999999999999996</v>
      </c>
      <c r="BF164" s="60">
        <v>-0.12</v>
      </c>
      <c r="BG164" s="60">
        <v>0</v>
      </c>
      <c r="BH164" s="75">
        <v>0</v>
      </c>
      <c r="BI164" s="72">
        <f t="shared" si="160"/>
        <v>18.901123999999999</v>
      </c>
      <c r="BJ164" s="76"/>
      <c r="BK164" s="77"/>
      <c r="BL164" s="78"/>
      <c r="BM164" s="78"/>
      <c r="BN164" s="77"/>
      <c r="BO164" s="78"/>
      <c r="BP164" s="78"/>
      <c r="BQ164" s="79">
        <f t="shared" si="161"/>
        <v>0</v>
      </c>
      <c r="BR164" s="80"/>
      <c r="BS164" s="77"/>
      <c r="BT164" s="77"/>
      <c r="BU164" s="77"/>
      <c r="BV164" s="77"/>
      <c r="BW164" s="77"/>
      <c r="BX164" s="77"/>
      <c r="BY164" s="72">
        <f t="shared" si="162"/>
        <v>0</v>
      </c>
      <c r="BZ164" s="73"/>
      <c r="CA164" s="60"/>
      <c r="CB164" s="60"/>
      <c r="CC164" s="60"/>
      <c r="CD164" s="65" t="str">
        <f t="shared" si="163"/>
        <v/>
      </c>
      <c r="CE164" s="60">
        <v>0</v>
      </c>
      <c r="CF164" s="79">
        <f t="shared" si="164"/>
        <v>0</v>
      </c>
      <c r="CG164" s="71">
        <v>6.7</v>
      </c>
      <c r="CH164" s="60">
        <v>15.55</v>
      </c>
      <c r="CI164" s="60">
        <v>13.3</v>
      </c>
      <c r="CJ164" s="60">
        <v>3.38</v>
      </c>
      <c r="CK164" s="59">
        <f t="shared" si="181"/>
        <v>50.447761194029852</v>
      </c>
      <c r="CL164" s="60">
        <v>0</v>
      </c>
      <c r="CM164" s="72">
        <f t="shared" si="165"/>
        <v>48.612250000000003</v>
      </c>
      <c r="CN164" s="81">
        <f t="shared" si="166"/>
        <v>1</v>
      </c>
      <c r="CO164" s="59">
        <f t="shared" si="167"/>
        <v>61.918872499999992</v>
      </c>
      <c r="CP164" s="59">
        <f t="shared" si="168"/>
        <v>1</v>
      </c>
      <c r="CQ164" s="59">
        <f t="shared" si="169"/>
        <v>18.901123999999999</v>
      </c>
      <c r="CR164" s="59">
        <f>IF(AV164&gt;0,'Look Ups'!$L$3,0)</f>
        <v>1</v>
      </c>
      <c r="CS164" s="59">
        <f t="shared" si="170"/>
        <v>0</v>
      </c>
      <c r="CT164" s="59">
        <f t="shared" si="182"/>
        <v>0</v>
      </c>
      <c r="CU164" s="59">
        <f t="shared" si="183"/>
        <v>0</v>
      </c>
      <c r="CV164" s="79">
        <f t="shared" si="184"/>
        <v>0</v>
      </c>
      <c r="CW164" s="82" t="str">
        <f t="shared" si="171"/>
        <v>valid</v>
      </c>
      <c r="CX164" s="65" t="str">
        <f t="shared" si="172"/>
        <v>-</v>
      </c>
      <c r="CY164" s="66" t="str">
        <f t="shared" si="173"/>
        <v>MGScr</v>
      </c>
      <c r="CZ164" s="81">
        <f t="shared" si="174"/>
        <v>80.819996499999988</v>
      </c>
      <c r="DA164" s="59">
        <f t="shared" si="175"/>
        <v>0</v>
      </c>
      <c r="DB164" s="59">
        <f t="shared" si="176"/>
        <v>10.398894100000001</v>
      </c>
      <c r="DC164" s="59">
        <f t="shared" si="177"/>
        <v>0</v>
      </c>
      <c r="DD164" s="59">
        <f t="shared" si="178"/>
        <v>1.6341119300000002</v>
      </c>
      <c r="DE164" s="79">
        <f t="shared" si="179"/>
        <v>85.465913337999993</v>
      </c>
      <c r="DF164" s="83">
        <f t="shared" si="180"/>
        <v>91.218890599999995</v>
      </c>
    </row>
    <row r="165" spans="2:110" ht="16.5" customHeight="1" x14ac:dyDescent="0.25">
      <c r="B165" s="47"/>
      <c r="C165" s="168" t="s">
        <v>590</v>
      </c>
      <c r="D165" s="184" t="s">
        <v>170</v>
      </c>
      <c r="E165" s="170" t="s">
        <v>247</v>
      </c>
      <c r="F165" s="50">
        <f t="shared" si="151"/>
        <v>0.86510860360442343</v>
      </c>
      <c r="G165" s="50" t="str">
        <f t="shared" ca="1" si="152"/>
        <v>No</v>
      </c>
      <c r="H165" s="51" t="str">
        <f t="shared" si="153"/>
        <v>Main - Genoa - Spinnaker</v>
      </c>
      <c r="I165" s="171">
        <v>38513</v>
      </c>
      <c r="J165" s="171">
        <v>40488</v>
      </c>
      <c r="K165" s="172" t="s">
        <v>236</v>
      </c>
      <c r="L165" s="172" t="s">
        <v>126</v>
      </c>
      <c r="M165" s="171"/>
      <c r="N165" s="173" t="s">
        <v>537</v>
      </c>
      <c r="O165" s="173"/>
      <c r="P165" s="185"/>
      <c r="Q165" s="175">
        <v>7.32</v>
      </c>
      <c r="R165" s="78"/>
      <c r="S165" s="59">
        <f t="shared" si="154"/>
        <v>0.18300000000000002</v>
      </c>
      <c r="T165" s="176">
        <v>0.14000000000000001</v>
      </c>
      <c r="U165" s="176">
        <v>0</v>
      </c>
      <c r="V165" s="61">
        <f t="shared" si="155"/>
        <v>7.1800000000000006</v>
      </c>
      <c r="W165" s="62">
        <f>IF(RL&gt;0,IF(RL&gt;'Look Ups'!R$7,'Look Ups'!R$8,('Look Ups'!R$3*RL^3+'Look Ups'!R$4*RL^2+'Look Ups'!R$5*RL+'Look Ups'!R$6)),0)</f>
        <v>0.29055146565600004</v>
      </c>
      <c r="X165" s="177">
        <v>955</v>
      </c>
      <c r="Y165" s="178"/>
      <c r="Z165" s="178"/>
      <c r="AA165" s="178"/>
      <c r="AB165" s="65">
        <f t="shared" si="156"/>
        <v>955</v>
      </c>
      <c r="AC165" s="66">
        <f t="shared" si="157"/>
        <v>955</v>
      </c>
      <c r="AD165" s="179" t="s">
        <v>129</v>
      </c>
      <c r="AE165" s="180" t="s">
        <v>130</v>
      </c>
      <c r="AF165" s="181" t="s">
        <v>131</v>
      </c>
      <c r="AG165" s="70">
        <f>IF(C165="",0,VLOOKUP(AD165,'Look Ups'!$B$3:$C$6,2,0)*VLOOKUP(AE165,'Look Ups'!$E$3:$F$5,2,0)*VLOOKUP(AF165,'Look Ups'!$H$3:$I$7,2,0))</f>
        <v>1</v>
      </c>
      <c r="AH165" s="80">
        <v>10.130000000000001</v>
      </c>
      <c r="AI165" s="77">
        <v>9.91</v>
      </c>
      <c r="AJ165" s="77">
        <v>3.1749999999999998</v>
      </c>
      <c r="AK165" s="77">
        <v>0.72499999999999998</v>
      </c>
      <c r="AL165" s="77">
        <v>0.77</v>
      </c>
      <c r="AM165" s="77">
        <v>9.8000000000000007</v>
      </c>
      <c r="AN165" s="77">
        <v>0.05</v>
      </c>
      <c r="AO165" s="77">
        <v>3.27</v>
      </c>
      <c r="AP165" s="77">
        <v>3.5000000000000003E-2</v>
      </c>
      <c r="AQ165" s="77">
        <v>0.5</v>
      </c>
      <c r="AR165" s="77" t="s">
        <v>132</v>
      </c>
      <c r="AS165" s="87">
        <v>0</v>
      </c>
      <c r="AT165" s="59">
        <f t="shared" si="158"/>
        <v>9.8350000000000009</v>
      </c>
      <c r="AU165" s="59">
        <f t="shared" si="159"/>
        <v>1.8375000000000001</v>
      </c>
      <c r="AV165" s="72">
        <f>IF(C165="",0,(0.5*(_ML1*LPM)+0.5*(_ML1*HB)+0.66*(P*PR)+0.66*(_ML2*RDM)+0.66*(E*ER))*VLOOKUP(BATT,'Look Ups'!$N$3:$O$4,2,0))</f>
        <v>25.188699000000003</v>
      </c>
      <c r="AW165" s="182"/>
      <c r="AX165" s="183"/>
      <c r="AY165" s="80">
        <v>8.75</v>
      </c>
      <c r="AZ165" s="77">
        <v>2.5300000000000002</v>
      </c>
      <c r="BA165" s="77">
        <v>2.79</v>
      </c>
      <c r="BB165" s="77">
        <v>0.08</v>
      </c>
      <c r="BC165" s="77">
        <v>7.97</v>
      </c>
      <c r="BD165" s="77"/>
      <c r="BE165" s="77"/>
      <c r="BF165" s="77">
        <v>0.22</v>
      </c>
      <c r="BG165" s="77">
        <v>0.04</v>
      </c>
      <c r="BH165" s="87">
        <v>0</v>
      </c>
      <c r="BI165" s="72">
        <f t="shared" si="160"/>
        <v>12.604306000000001</v>
      </c>
      <c r="BJ165" s="76"/>
      <c r="BK165" s="77"/>
      <c r="BL165" s="78"/>
      <c r="BM165" s="78"/>
      <c r="BN165" s="77"/>
      <c r="BO165" s="78"/>
      <c r="BP165" s="78"/>
      <c r="BQ165" s="79">
        <f t="shared" si="161"/>
        <v>0</v>
      </c>
      <c r="BR165" s="80"/>
      <c r="BS165" s="77"/>
      <c r="BT165" s="77"/>
      <c r="BU165" s="77"/>
      <c r="BV165" s="77"/>
      <c r="BW165" s="77"/>
      <c r="BX165" s="77"/>
      <c r="BY165" s="72">
        <f t="shared" si="162"/>
        <v>0</v>
      </c>
      <c r="BZ165" s="182">
        <v>6.52</v>
      </c>
      <c r="CA165" s="77">
        <v>10.95</v>
      </c>
      <c r="CB165" s="77">
        <v>9.89</v>
      </c>
      <c r="CC165" s="77">
        <v>6.4</v>
      </c>
      <c r="CD165" s="65">
        <f t="shared" si="163"/>
        <v>98.159509202454004</v>
      </c>
      <c r="CE165" s="87">
        <v>0</v>
      </c>
      <c r="CF165" s="79">
        <f t="shared" si="164"/>
        <v>55.781733333333335</v>
      </c>
      <c r="CG165" s="80"/>
      <c r="CH165" s="77"/>
      <c r="CI165" s="77"/>
      <c r="CJ165" s="77"/>
      <c r="CK165" s="59" t="str">
        <f t="shared" si="181"/>
        <v/>
      </c>
      <c r="CL165" s="87">
        <v>0</v>
      </c>
      <c r="CM165" s="72">
        <f t="shared" si="165"/>
        <v>0</v>
      </c>
      <c r="CN165" s="81">
        <f t="shared" si="166"/>
        <v>1</v>
      </c>
      <c r="CO165" s="59">
        <f t="shared" si="167"/>
        <v>27.026199000000002</v>
      </c>
      <c r="CP165" s="59">
        <f t="shared" si="168"/>
        <v>1</v>
      </c>
      <c r="CQ165" s="59">
        <f t="shared" si="169"/>
        <v>12.604306000000001</v>
      </c>
      <c r="CR165" s="59">
        <f>IF(AV165&gt;0,'Look Ups'!$L$3,0)</f>
        <v>1</v>
      </c>
      <c r="CS165" s="59">
        <f t="shared" si="170"/>
        <v>0</v>
      </c>
      <c r="CT165" s="59">
        <f t="shared" si="182"/>
        <v>0</v>
      </c>
      <c r="CU165" s="59">
        <f t="shared" si="183"/>
        <v>0</v>
      </c>
      <c r="CV165" s="79">
        <f t="shared" si="184"/>
        <v>0</v>
      </c>
      <c r="CW165" s="82" t="str">
        <f t="shared" si="171"/>
        <v>-</v>
      </c>
      <c r="CX165" s="65" t="str">
        <f t="shared" si="172"/>
        <v>valid</v>
      </c>
      <c r="CY165" s="66" t="str">
        <f t="shared" si="173"/>
        <v>MGSp</v>
      </c>
      <c r="CZ165" s="81">
        <f t="shared" si="174"/>
        <v>39.630504999999999</v>
      </c>
      <c r="DA165" s="59">
        <f t="shared" si="175"/>
        <v>12.9532282</v>
      </c>
      <c r="DB165" s="59">
        <f t="shared" si="176"/>
        <v>0</v>
      </c>
      <c r="DC165" s="59">
        <f t="shared" si="177"/>
        <v>12.737341063333332</v>
      </c>
      <c r="DD165" s="59">
        <f t="shared" si="178"/>
        <v>0</v>
      </c>
      <c r="DE165" s="79">
        <f t="shared" si="179"/>
        <v>41.188069444</v>
      </c>
      <c r="DF165" s="83">
        <f t="shared" si="180"/>
        <v>52.583733199999998</v>
      </c>
    </row>
    <row r="166" spans="2:110" ht="16.5" customHeight="1" x14ac:dyDescent="0.25">
      <c r="B166" s="168"/>
      <c r="C166" s="168" t="s">
        <v>591</v>
      </c>
      <c r="D166" s="169" t="s">
        <v>284</v>
      </c>
      <c r="E166" s="170" t="s">
        <v>592</v>
      </c>
      <c r="F166" s="50">
        <f t="shared" si="151"/>
        <v>0.65762267828949428</v>
      </c>
      <c r="G166" s="50" t="str">
        <f t="shared" ca="1" si="152"/>
        <v>No</v>
      </c>
      <c r="H166" s="51" t="str">
        <f t="shared" si="153"/>
        <v>Main - Genoa - Screacher</v>
      </c>
      <c r="I166" s="171">
        <v>37883</v>
      </c>
      <c r="J166" s="171"/>
      <c r="K166" s="172" t="s">
        <v>205</v>
      </c>
      <c r="L166" s="172" t="s">
        <v>187</v>
      </c>
      <c r="M166" s="171"/>
      <c r="N166" s="173" t="s">
        <v>537</v>
      </c>
      <c r="O166" s="173"/>
      <c r="P166" s="186">
        <v>4.5</v>
      </c>
      <c r="Q166" s="175">
        <v>5.97</v>
      </c>
      <c r="R166" s="78"/>
      <c r="S166" s="59">
        <f t="shared" si="154"/>
        <v>0.14924999999999999</v>
      </c>
      <c r="T166" s="176">
        <v>0.31</v>
      </c>
      <c r="U166" s="176">
        <v>0</v>
      </c>
      <c r="V166" s="61">
        <f t="shared" si="155"/>
        <v>5.66</v>
      </c>
      <c r="W166" s="62">
        <f>IF(RL&gt;0,IF(RL&gt;'Look Ups'!R$7,'Look Ups'!R$8,('Look Ups'!R$3*RL^3+'Look Ups'!R$4*RL^2+'Look Ups'!R$5*RL+'Look Ups'!R$6)),0)</f>
        <v>0.28200376936799998</v>
      </c>
      <c r="X166" s="177">
        <v>855</v>
      </c>
      <c r="Y166" s="178"/>
      <c r="Z166" s="178"/>
      <c r="AA166" s="178"/>
      <c r="AB166" s="65">
        <f t="shared" si="156"/>
        <v>855</v>
      </c>
      <c r="AC166" s="66">
        <f t="shared" si="157"/>
        <v>855</v>
      </c>
      <c r="AD166" s="179" t="s">
        <v>154</v>
      </c>
      <c r="AE166" s="180" t="s">
        <v>130</v>
      </c>
      <c r="AF166" s="181" t="s">
        <v>131</v>
      </c>
      <c r="AG166" s="70">
        <f>IF(C166="",0,VLOOKUP(AD166,'Look Ups'!$B$3:$C$6,2,0)*VLOOKUP(AE166,'Look Ups'!$E$3:$F$5,2,0)*VLOOKUP(AF166,'Look Ups'!$H$3:$I$7,2,0))</f>
        <v>0.99</v>
      </c>
      <c r="AH166" s="80">
        <v>7.45</v>
      </c>
      <c r="AI166" s="77">
        <v>7.18</v>
      </c>
      <c r="AJ166" s="77">
        <v>2.36</v>
      </c>
      <c r="AK166" s="77">
        <v>0.85</v>
      </c>
      <c r="AL166" s="77">
        <v>0.45</v>
      </c>
      <c r="AM166" s="77">
        <v>7.24</v>
      </c>
      <c r="AN166" s="77">
        <v>0.08</v>
      </c>
      <c r="AO166" s="77">
        <v>2.4500000000000002</v>
      </c>
      <c r="AP166" s="77">
        <v>0.01</v>
      </c>
      <c r="AQ166" s="77">
        <v>0</v>
      </c>
      <c r="AR166" s="77" t="s">
        <v>132</v>
      </c>
      <c r="AS166" s="87">
        <v>0</v>
      </c>
      <c r="AT166" s="59">
        <f t="shared" si="158"/>
        <v>7.25</v>
      </c>
      <c r="AU166" s="59">
        <f t="shared" si="159"/>
        <v>0</v>
      </c>
      <c r="AV166" s="72">
        <f>IF(C166="",0,(0.5*(_ML1*LPM)+0.5*(_ML1*HB)+0.66*(P*PR)+0.66*(_ML2*RDM)+0.66*(E*ER))*VLOOKUP(BATT,'Look Ups'!$N$3:$O$4,2,0))</f>
        <v>14.488152000000001</v>
      </c>
      <c r="AW166" s="182"/>
      <c r="AX166" s="183"/>
      <c r="AY166" s="80">
        <v>6.41</v>
      </c>
      <c r="AZ166" s="77">
        <v>2.02</v>
      </c>
      <c r="BA166" s="77">
        <v>2.2999999999999998</v>
      </c>
      <c r="BB166" s="77">
        <v>0.05</v>
      </c>
      <c r="BC166" s="77">
        <v>5.68</v>
      </c>
      <c r="BD166" s="77"/>
      <c r="BE166" s="77"/>
      <c r="BF166" s="77">
        <v>7.0000000000000007E-2</v>
      </c>
      <c r="BG166" s="77">
        <v>0.1</v>
      </c>
      <c r="BH166" s="87"/>
      <c r="BI166" s="72">
        <f t="shared" si="160"/>
        <v>7.2354759999999994</v>
      </c>
      <c r="BJ166" s="76"/>
      <c r="BK166" s="77"/>
      <c r="BL166" s="78"/>
      <c r="BM166" s="78"/>
      <c r="BN166" s="77"/>
      <c r="BO166" s="78"/>
      <c r="BP166" s="78"/>
      <c r="BQ166" s="79">
        <f t="shared" si="161"/>
        <v>0</v>
      </c>
      <c r="BR166" s="80"/>
      <c r="BS166" s="77"/>
      <c r="BT166" s="77"/>
      <c r="BU166" s="77"/>
      <c r="BV166" s="77"/>
      <c r="BW166" s="77"/>
      <c r="BX166" s="77"/>
      <c r="BY166" s="72">
        <f t="shared" si="162"/>
        <v>0</v>
      </c>
      <c r="BZ166" s="182"/>
      <c r="CA166" s="77"/>
      <c r="CB166" s="77"/>
      <c r="CC166" s="77"/>
      <c r="CD166" s="65" t="str">
        <f t="shared" si="163"/>
        <v/>
      </c>
      <c r="CE166" s="77">
        <v>0</v>
      </c>
      <c r="CF166" s="79">
        <f t="shared" si="164"/>
        <v>0</v>
      </c>
      <c r="CG166" s="80">
        <v>6.14</v>
      </c>
      <c r="CH166" s="77">
        <v>9.0299999999999994</v>
      </c>
      <c r="CI166" s="77">
        <v>7.35</v>
      </c>
      <c r="CJ166" s="77">
        <v>4.45</v>
      </c>
      <c r="CK166" s="59">
        <f t="shared" si="181"/>
        <v>72.475570032573302</v>
      </c>
      <c r="CL166" s="77">
        <v>0</v>
      </c>
      <c r="CM166" s="72">
        <f t="shared" si="165"/>
        <v>32.678100000000001</v>
      </c>
      <c r="CN166" s="81">
        <f t="shared" si="166"/>
        <v>1</v>
      </c>
      <c r="CO166" s="59">
        <f t="shared" si="167"/>
        <v>14.488152000000001</v>
      </c>
      <c r="CP166" s="59">
        <f t="shared" si="168"/>
        <v>1</v>
      </c>
      <c r="CQ166" s="59">
        <f t="shared" si="169"/>
        <v>7.2354759999999994</v>
      </c>
      <c r="CR166" s="59">
        <f>IF(AV166&gt;0,'Look Ups'!$L$3,0)</f>
        <v>1</v>
      </c>
      <c r="CS166" s="59">
        <f t="shared" si="170"/>
        <v>0</v>
      </c>
      <c r="CT166" s="59">
        <f t="shared" si="182"/>
        <v>0</v>
      </c>
      <c r="CU166" s="59">
        <f t="shared" si="183"/>
        <v>0</v>
      </c>
      <c r="CV166" s="79">
        <f t="shared" si="184"/>
        <v>0</v>
      </c>
      <c r="CW166" s="82" t="str">
        <f t="shared" si="171"/>
        <v>valid</v>
      </c>
      <c r="CX166" s="65" t="str">
        <f t="shared" si="172"/>
        <v>-</v>
      </c>
      <c r="CY166" s="66" t="str">
        <f t="shared" si="173"/>
        <v>MGScr</v>
      </c>
      <c r="CZ166" s="81">
        <f t="shared" si="174"/>
        <v>21.723628000000001</v>
      </c>
      <c r="DA166" s="59">
        <f t="shared" si="175"/>
        <v>0</v>
      </c>
      <c r="DB166" s="59">
        <f t="shared" si="176"/>
        <v>8.9049183999999997</v>
      </c>
      <c r="DC166" s="59">
        <f t="shared" si="177"/>
        <v>0</v>
      </c>
      <c r="DD166" s="59">
        <f t="shared" si="178"/>
        <v>1.3993443200000002</v>
      </c>
      <c r="DE166" s="79">
        <f t="shared" si="179"/>
        <v>22.506917008000002</v>
      </c>
      <c r="DF166" s="83">
        <f t="shared" si="180"/>
        <v>30.628546400000001</v>
      </c>
    </row>
    <row r="167" spans="2:110" ht="21" customHeight="1" x14ac:dyDescent="0.25">
      <c r="B167" s="168"/>
      <c r="C167" s="168" t="s">
        <v>593</v>
      </c>
      <c r="D167" s="169" t="s">
        <v>594</v>
      </c>
      <c r="E167" s="170" t="s">
        <v>595</v>
      </c>
      <c r="F167" s="50">
        <f t="shared" si="151"/>
        <v>0.71247358800258465</v>
      </c>
      <c r="G167" s="50" t="str">
        <f t="shared" ca="1" si="152"/>
        <v>No</v>
      </c>
      <c r="H167" s="51" t="str">
        <f t="shared" si="153"/>
        <v>Main - Genoa - Screacher</v>
      </c>
      <c r="I167" s="171">
        <v>36617</v>
      </c>
      <c r="J167" s="171"/>
      <c r="K167" s="172" t="s">
        <v>596</v>
      </c>
      <c r="L167" s="172" t="s">
        <v>506</v>
      </c>
      <c r="M167" s="171"/>
      <c r="N167" s="173" t="s">
        <v>149</v>
      </c>
      <c r="O167" s="173"/>
      <c r="P167" s="174">
        <v>6.5</v>
      </c>
      <c r="Q167" s="175">
        <v>10.06</v>
      </c>
      <c r="R167" s="78"/>
      <c r="S167" s="59">
        <f t="shared" si="154"/>
        <v>0.2515</v>
      </c>
      <c r="T167" s="176">
        <v>0.1</v>
      </c>
      <c r="U167" s="176">
        <v>0</v>
      </c>
      <c r="V167" s="61">
        <f t="shared" si="155"/>
        <v>9.9600000000000009</v>
      </c>
      <c r="W167" s="62">
        <f>IF(RL&gt;0,IF(RL&gt;'Look Ups'!R$7,'Look Ups'!R$8,('Look Ups'!R$3*RL^3+'Look Ups'!R$4*RL^2+'Look Ups'!R$5*RL+'Look Ups'!R$6)),0)</f>
        <v>0.29844334188800004</v>
      </c>
      <c r="X167" s="177">
        <v>3885</v>
      </c>
      <c r="Y167" s="178"/>
      <c r="Z167" s="178"/>
      <c r="AA167" s="178"/>
      <c r="AB167" s="65">
        <f t="shared" si="156"/>
        <v>3885</v>
      </c>
      <c r="AC167" s="66">
        <f t="shared" si="157"/>
        <v>3885</v>
      </c>
      <c r="AD167" s="179" t="s">
        <v>129</v>
      </c>
      <c r="AE167" s="180" t="s">
        <v>130</v>
      </c>
      <c r="AF167" s="181" t="s">
        <v>131</v>
      </c>
      <c r="AG167" s="70">
        <f>IF(C167="",0,VLOOKUP(AD167,'Look Ups'!$B$3:$C$6,2,0)*VLOOKUP(AE167,'Look Ups'!$E$3:$F$5,2,0)*VLOOKUP(AF167,'Look Ups'!$H$3:$I$7,2,0))</f>
        <v>1</v>
      </c>
      <c r="AH167" s="80">
        <v>12.1</v>
      </c>
      <c r="AI167" s="77">
        <v>12.08</v>
      </c>
      <c r="AJ167" s="77">
        <v>4</v>
      </c>
      <c r="AK167" s="77">
        <v>0.14000000000000001</v>
      </c>
      <c r="AL167" s="77">
        <v>0.51</v>
      </c>
      <c r="AM167" s="77">
        <v>12</v>
      </c>
      <c r="AN167" s="77">
        <v>0.1</v>
      </c>
      <c r="AO167" s="77">
        <v>4.18</v>
      </c>
      <c r="AP167" s="77">
        <v>7.0000000000000007E-2</v>
      </c>
      <c r="AQ167" s="77">
        <v>0</v>
      </c>
      <c r="AR167" s="77" t="s">
        <v>132</v>
      </c>
      <c r="AS167" s="87">
        <v>0</v>
      </c>
      <c r="AT167" s="59">
        <f t="shared" si="158"/>
        <v>12.07</v>
      </c>
      <c r="AU167" s="59">
        <f t="shared" si="159"/>
        <v>0</v>
      </c>
      <c r="AV167" s="72">
        <f>IF(C167="",0,(0.5*(_ML1*LPM)+0.5*(_ML1*HB)+0.66*(P*PR)+0.66*(_ML2*RDM)+0.66*(E*ER))*VLOOKUP(BATT,'Look Ups'!$N$3:$O$4,2,0))</f>
        <v>30.098244000000001</v>
      </c>
      <c r="AW167" s="182"/>
      <c r="AX167" s="183"/>
      <c r="AY167" s="80">
        <v>13.4</v>
      </c>
      <c r="AZ167" s="77">
        <v>5.72</v>
      </c>
      <c r="BA167" s="77">
        <v>5.83</v>
      </c>
      <c r="BB167" s="77">
        <v>0.17</v>
      </c>
      <c r="BC167" s="77">
        <v>12.35</v>
      </c>
      <c r="BD167" s="77"/>
      <c r="BE167" s="77"/>
      <c r="BF167" s="77">
        <v>-0.12</v>
      </c>
      <c r="BG167" s="77">
        <v>-0.43</v>
      </c>
      <c r="BH167" s="87"/>
      <c r="BI167" s="72">
        <f t="shared" si="160"/>
        <v>34.197085999999999</v>
      </c>
      <c r="BJ167" s="76"/>
      <c r="BK167" s="77"/>
      <c r="BL167" s="78"/>
      <c r="BM167" s="78"/>
      <c r="BN167" s="77"/>
      <c r="BO167" s="78"/>
      <c r="BP167" s="78"/>
      <c r="BQ167" s="79">
        <f t="shared" si="161"/>
        <v>0</v>
      </c>
      <c r="BR167" s="80"/>
      <c r="BS167" s="77"/>
      <c r="BT167" s="77"/>
      <c r="BU167" s="77"/>
      <c r="BV167" s="77"/>
      <c r="BW167" s="77"/>
      <c r="BX167" s="77"/>
      <c r="BY167" s="72">
        <f t="shared" si="162"/>
        <v>0</v>
      </c>
      <c r="BZ167" s="182"/>
      <c r="CA167" s="77"/>
      <c r="CB167" s="77"/>
      <c r="CC167" s="77"/>
      <c r="CD167" s="65" t="str">
        <f t="shared" si="163"/>
        <v/>
      </c>
      <c r="CE167" s="77">
        <v>0</v>
      </c>
      <c r="CF167" s="79">
        <f t="shared" si="164"/>
        <v>0</v>
      </c>
      <c r="CG167" s="80">
        <v>8.2799999999999994</v>
      </c>
      <c r="CH167" s="77">
        <v>12.7</v>
      </c>
      <c r="CI167" s="77">
        <v>12.5</v>
      </c>
      <c r="CJ167" s="77">
        <v>6.07</v>
      </c>
      <c r="CK167" s="59">
        <f t="shared" si="181"/>
        <v>73.309178743961354</v>
      </c>
      <c r="CL167" s="77">
        <v>0</v>
      </c>
      <c r="CM167" s="72">
        <f t="shared" si="165"/>
        <v>68.376000000000005</v>
      </c>
      <c r="CN167" s="81">
        <f t="shared" si="166"/>
        <v>1</v>
      </c>
      <c r="CO167" s="59">
        <f t="shared" si="167"/>
        <v>30.098244000000001</v>
      </c>
      <c r="CP167" s="59">
        <f t="shared" si="168"/>
        <v>1</v>
      </c>
      <c r="CQ167" s="59">
        <f t="shared" si="169"/>
        <v>34.197085999999999</v>
      </c>
      <c r="CR167" s="59">
        <f>IF(AV167&gt;0,'Look Ups'!$L$3,0)</f>
        <v>1</v>
      </c>
      <c r="CS167" s="59">
        <f t="shared" si="170"/>
        <v>0</v>
      </c>
      <c r="CT167" s="59">
        <f t="shared" si="182"/>
        <v>0</v>
      </c>
      <c r="CU167" s="59">
        <f t="shared" si="183"/>
        <v>0</v>
      </c>
      <c r="CV167" s="79">
        <f t="shared" si="184"/>
        <v>0</v>
      </c>
      <c r="CW167" s="82" t="str">
        <f t="shared" si="171"/>
        <v>valid</v>
      </c>
      <c r="CX167" s="65" t="str">
        <f t="shared" si="172"/>
        <v>-</v>
      </c>
      <c r="CY167" s="66" t="str">
        <f t="shared" si="173"/>
        <v>MGScr</v>
      </c>
      <c r="CZ167" s="81">
        <f t="shared" si="174"/>
        <v>64.295330000000007</v>
      </c>
      <c r="DA167" s="59">
        <f t="shared" si="175"/>
        <v>0</v>
      </c>
      <c r="DB167" s="59">
        <f t="shared" si="176"/>
        <v>11.962619900000002</v>
      </c>
      <c r="DC167" s="59">
        <f t="shared" si="177"/>
        <v>0</v>
      </c>
      <c r="DD167" s="59">
        <f t="shared" si="178"/>
        <v>1.8798402700000003</v>
      </c>
      <c r="DE167" s="79">
        <f t="shared" si="179"/>
        <v>63.852655064000004</v>
      </c>
      <c r="DF167" s="83">
        <f t="shared" si="180"/>
        <v>76.257949900000014</v>
      </c>
    </row>
    <row r="168" spans="2:110" ht="16.5" customHeight="1" x14ac:dyDescent="0.25">
      <c r="B168" s="168"/>
      <c r="C168" s="47" t="s">
        <v>222</v>
      </c>
      <c r="D168" s="48" t="s">
        <v>223</v>
      </c>
      <c r="E168" s="49" t="s">
        <v>860</v>
      </c>
      <c r="F168" s="50">
        <f t="shared" si="151"/>
        <v>0.85077924321564746</v>
      </c>
      <c r="G168" s="50" t="str">
        <f t="shared" ref="G168:G197" ca="1" si="185">IF(F168&gt;0,IF(OR(TODAY()-3650&gt;I168,CW168="ERROR",CX168="ERROR"),"No","Yes"),0)</f>
        <v>No</v>
      </c>
      <c r="H168" s="51" t="str">
        <f t="shared" ref="H168:H197" si="186">IF(CY168="","",IF(CY168="MG","Main - Genoa",IF(CY168="MGScr","Main - Genoa - Screacher",IF(CY168="MGSp","Main - Genoa - Spinnaker",IF(CY168="MGScrSp","Main - Genoa - Screacher - Spinnaker","Invalid"))))&amp;IF(AS&gt;0," - Staysail ","")&amp;IF(AD&gt;0," - Drifter","")&amp;IF(RSAMZ&gt;0," - Mizzen","")&amp;IF(RSA2M&gt;0," - Bi-Rig",""))</f>
        <v>Main - Genoa - Screacher - Spinnaker</v>
      </c>
      <c r="I168" s="52">
        <v>38423</v>
      </c>
      <c r="J168" s="52">
        <v>41021</v>
      </c>
      <c r="K168" s="53" t="s">
        <v>224</v>
      </c>
      <c r="L168" s="53" t="s">
        <v>137</v>
      </c>
      <c r="M168" s="54"/>
      <c r="N168" s="55" t="s">
        <v>127</v>
      </c>
      <c r="O168" s="55" t="s">
        <v>128</v>
      </c>
      <c r="P168" s="56"/>
      <c r="Q168" s="57">
        <v>7.34</v>
      </c>
      <c r="R168" s="58"/>
      <c r="S168" s="59">
        <f t="shared" ref="S168:S196" si="187">IF((LOAA&gt;LOA),0.025*LOAA,0.025*LOA)</f>
        <v>0.1835</v>
      </c>
      <c r="T168" s="60">
        <v>0.17</v>
      </c>
      <c r="U168" s="60">
        <v>0</v>
      </c>
      <c r="V168" s="61">
        <f t="shared" ref="V168:V196" si="188">IF((LOAA&gt;LOA),LOAA,LOA-FOC-AOC)</f>
        <v>7.17</v>
      </c>
      <c r="W168" s="62">
        <f>IF(RL&gt;0,IF(RL&gt;'Look Ups'!R$7,'Look Ups'!R$8,('Look Ups'!R$3*RL^3+'Look Ups'!R$4*RL^2+'Look Ups'!R$5*RL+'Look Ups'!R$6)),0)</f>
        <v>0.29050639982900006</v>
      </c>
      <c r="X168" s="63">
        <v>955</v>
      </c>
      <c r="Y168" s="64"/>
      <c r="Z168" s="64"/>
      <c r="AA168" s="64"/>
      <c r="AB168" s="65">
        <f t="shared" ref="AB168:AB196" si="189">WM+WE</f>
        <v>955</v>
      </c>
      <c r="AC168" s="66">
        <f t="shared" ref="AC168:AC196" si="190">WS+WCD+4*NC</f>
        <v>955</v>
      </c>
      <c r="AD168" s="67" t="s">
        <v>129</v>
      </c>
      <c r="AE168" s="68" t="s">
        <v>130</v>
      </c>
      <c r="AF168" s="69" t="s">
        <v>131</v>
      </c>
      <c r="AG168" s="70">
        <f>IF(C168="",0,VLOOKUP(AD168,'Look Ups'!$B$3:$C$6,2,0)*VLOOKUP(AE168,'Look Ups'!$E$3:$F$5,2,0)*VLOOKUP(AF168,'Look Ups'!$H$3:$I$7,2,0))</f>
        <v>1</v>
      </c>
      <c r="AH168" s="71">
        <v>9.43</v>
      </c>
      <c r="AI168" s="60">
        <v>9.16</v>
      </c>
      <c r="AJ168" s="60">
        <v>3.1</v>
      </c>
      <c r="AK168" s="60">
        <v>1.4</v>
      </c>
      <c r="AL168" s="60">
        <v>0.17500000000000002</v>
      </c>
      <c r="AM168" s="60">
        <v>8.9700000000000006</v>
      </c>
      <c r="AN168" s="60">
        <v>0.105</v>
      </c>
      <c r="AO168" s="60">
        <v>3.28</v>
      </c>
      <c r="AP168" s="60">
        <v>9.0000000000000011E-3</v>
      </c>
      <c r="AQ168" s="60">
        <v>0.4</v>
      </c>
      <c r="AR168" s="60" t="s">
        <v>132</v>
      </c>
      <c r="AS168" s="75">
        <v>3</v>
      </c>
      <c r="AT168" s="59">
        <f t="shared" ref="AT168:AT196" si="191">P+ER</f>
        <v>8.979000000000001</v>
      </c>
      <c r="AU168" s="59">
        <f t="shared" ref="AU168:AU196" si="192">P*0.375*MC</f>
        <v>1.3455000000000004</v>
      </c>
      <c r="AV168" s="72">
        <f>IF(C168="",0,(0.5*(_ML1*LPM)+0.5*(_ML1*HB)+0.66*(P*PR)+0.66*(_ML2*RDM)+0.66*(E*ER))*VLOOKUP(BATT,'Look Ups'!$N$3:$O$4,2,0))</f>
        <v>22.916584200000003</v>
      </c>
      <c r="AW168" s="73"/>
      <c r="AX168" s="74"/>
      <c r="AY168" s="71">
        <v>7.65</v>
      </c>
      <c r="AZ168" s="60">
        <v>3</v>
      </c>
      <c r="BA168" s="60">
        <v>3.42</v>
      </c>
      <c r="BB168" s="60">
        <v>0.17500000000000002</v>
      </c>
      <c r="BC168" s="60">
        <v>6.79</v>
      </c>
      <c r="BD168" s="60"/>
      <c r="BE168" s="60"/>
      <c r="BF168" s="60">
        <v>0.2</v>
      </c>
      <c r="BG168" s="60">
        <v>6.5000000000000002E-2</v>
      </c>
      <c r="BH168" s="75" t="s">
        <v>225</v>
      </c>
      <c r="BI168" s="72">
        <f t="shared" ref="BI168:BI196" si="193">(0.5*LL*LPG)+(0.5*_LG1*HG)+(0.66*LL*LLRG)+(0.66*FG*FRG)+(IF((HG&gt;0),(0.66*_LG2*LRG),(0.66*_LG1*LRG)))</f>
        <v>13.094474999999999</v>
      </c>
      <c r="BJ168" s="76"/>
      <c r="BK168" s="77"/>
      <c r="BL168" s="78"/>
      <c r="BM168" s="78"/>
      <c r="BN168" s="77"/>
      <c r="BO168" s="78"/>
      <c r="BP168" s="78"/>
      <c r="BQ168" s="79">
        <f t="shared" ref="BQ168:BQ196" si="194">(0.5*LLS*LPS)+(0.66*LLS*LLRS)+(0.66*LS*LRS)+(0.66*FS*FRS)</f>
        <v>0</v>
      </c>
      <c r="BR168" s="80"/>
      <c r="BS168" s="77"/>
      <c r="BT168" s="77"/>
      <c r="BU168" s="77"/>
      <c r="BV168" s="77"/>
      <c r="BW168" s="77"/>
      <c r="BX168" s="77"/>
      <c r="BY168" s="72">
        <f t="shared" ref="BY168:BY196" si="195">(0.5*LLD*LPD)+(0.66*LLD*LLRD)+(0.66*LCHD*LRD)+(0.66*FD*FRD)</f>
        <v>0</v>
      </c>
      <c r="BZ168" s="73">
        <v>6.76</v>
      </c>
      <c r="CA168" s="60">
        <v>11.46</v>
      </c>
      <c r="CB168" s="60">
        <v>10.4</v>
      </c>
      <c r="CC168" s="60">
        <v>5.97</v>
      </c>
      <c r="CD168" s="65">
        <f t="shared" ref="CD168:CD196" si="196">IF(SF&gt;0,SMG/SF*100,"")</f>
        <v>88.31360946745562</v>
      </c>
      <c r="CE168" s="60">
        <v>0</v>
      </c>
      <c r="CF168" s="79">
        <f t="shared" ref="CF168:CF196" si="197">SF*(_SL1+_SL2)/4+(SMG-SF/2)*(_SL1+_SL2)/3</f>
        <v>55.815866666666665</v>
      </c>
      <c r="CG168" s="71">
        <v>5.2450000000000001</v>
      </c>
      <c r="CH168" s="60">
        <v>9.1999999999999993</v>
      </c>
      <c r="CI168" s="60">
        <v>8.1</v>
      </c>
      <c r="CJ168" s="60">
        <v>2.65</v>
      </c>
      <c r="CK168" s="59">
        <f t="shared" si="181"/>
        <v>50.524308865586264</v>
      </c>
      <c r="CL168" s="60">
        <v>0</v>
      </c>
      <c r="CM168" s="72">
        <f t="shared" ref="CM168:CM196" si="198">SCRF*(ScrL1+ScrL2)/4+(ScrMG-SCRF/2)*(ScrL1+ScrL2)/3</f>
        <v>22.84320833333333</v>
      </c>
      <c r="CN168" s="81">
        <f t="shared" ref="CN168:CN196" si="199">IF(ZVAL=1,1,IF(LPM&gt;0,0.64*((AM+MAM)/(E+(MC/2))^2)^0.3,0))</f>
        <v>1</v>
      </c>
      <c r="CO168" s="59">
        <f t="shared" ref="CO168:CO196" si="200">0.65*((AM+MAM)*EFM)+0.35*((AM+MAM)*ZVAL)</f>
        <v>24.262084200000004</v>
      </c>
      <c r="CP168" s="59">
        <f t="shared" ref="CP168:CP196" si="201">IF(ZVAL=1,1,IF(LPG&gt;0,0.72*(AG/(LPG^2))^0.3,0))</f>
        <v>1</v>
      </c>
      <c r="CQ168" s="59">
        <f t="shared" ref="CQ168:CQ196" si="202">AG*EFG</f>
        <v>13.094474999999999</v>
      </c>
      <c r="CR168" s="59">
        <f>IF(AV168&gt;0,'Look Ups'!$L$3,0)</f>
        <v>1</v>
      </c>
      <c r="CS168" s="59">
        <f t="shared" ref="CS168:CS196" si="203">IF(LPS&gt;0,0.72*(AS/(LPS^2))^0.3,0)</f>
        <v>0</v>
      </c>
      <c r="CT168" s="59">
        <f t="shared" si="182"/>
        <v>0</v>
      </c>
      <c r="CU168" s="59">
        <f t="shared" si="183"/>
        <v>0</v>
      </c>
      <c r="CV168" s="79">
        <f t="shared" si="184"/>
        <v>0</v>
      </c>
      <c r="CW168" s="82" t="str">
        <f t="shared" ref="CW168:CW196" si="204">IF((SCRF=0),"-",IF(AND(MSASC&gt;AG,ScrMG&gt;=(0.5*SCRF),ScrMG&lt;(0.75*SCRF)),"valid","ERROR"))</f>
        <v>valid</v>
      </c>
      <c r="CX168" s="65" t="str">
        <f t="shared" ref="CX168:CX196" si="205">IF((SF=0),"-",IF((SMG&lt;(0.75*SF)),"ERROR",IF(AND(MSASP&gt;MSASC,MSASP&gt;AG,MSASP&gt;=0.36*RSAM),"valid",0)))</f>
        <v>valid</v>
      </c>
      <c r="CY168" s="66" t="str">
        <f t="shared" ref="CY168:CY197" si="206">IF(C168="","",IF(CW168="valid",IF(CX168="valid","MGScrSp","MGScr"),IF(CX168="valid","MGSp","MG")))</f>
        <v>MGScrSp</v>
      </c>
      <c r="CZ168" s="81">
        <f t="shared" ref="CZ168:CZ196" si="207">RSAM+RSAG</f>
        <v>37.356559200000007</v>
      </c>
      <c r="DA168" s="59">
        <f t="shared" ref="DA168:DA196" si="208">IF(MSASP&gt;0,0.3*(ZVAL*MSASP-RSAG),0)</f>
        <v>12.816417499999998</v>
      </c>
      <c r="DB168" s="59">
        <f t="shared" ref="DB168:DB196" si="209">IF(AND(MSASC&gt;0,(MSASC&gt;=0.36*RSAM)),(0.35*(ZVAL*MSASC-RSAG)),(0))</f>
        <v>3.4120566666666656</v>
      </c>
      <c r="DC168" s="59">
        <f t="shared" ref="DC168:DC196" si="210">IF(MSASP&gt;0,0.295*(ZVAL*MSASP-RSAG),0)</f>
        <v>12.602810541666665</v>
      </c>
      <c r="DD168" s="59">
        <f t="shared" ref="DD168:DD196" si="211">IF(MSASC&gt;0,0.055*(MSASC-RSAG),0)</f>
        <v>0.53618033333333315</v>
      </c>
      <c r="DE168" s="79">
        <f t="shared" ref="DE168:DE196" si="212">RSAMG+(ZVAL*0.3*0.36*(RSAM-RSAG))</f>
        <v>38.562660993600005</v>
      </c>
      <c r="DF168" s="83">
        <f t="shared" ref="DF168:DF196" si="213">IF(CY168="MG",DE168,IF(CY168="MGScr",RAMG+RASCO,IF(CY168="MGSp",RAMG+RASPO,IF(CY168="MGScrSp",RAMG+RASPSC+RASCR,0))))+RSAST+RSAD+RSAMZ+RSA2M</f>
        <v>50.495550075000004</v>
      </c>
    </row>
    <row r="169" spans="2:110" ht="16.5" customHeight="1" x14ac:dyDescent="0.25">
      <c r="B169" s="47"/>
      <c r="C169" s="168" t="s">
        <v>597</v>
      </c>
      <c r="D169" s="184"/>
      <c r="E169" s="170" t="s">
        <v>598</v>
      </c>
      <c r="F169" s="50">
        <f t="shared" si="151"/>
        <v>0.90921799436191275</v>
      </c>
      <c r="G169" s="50" t="str">
        <f t="shared" ca="1" si="185"/>
        <v>No</v>
      </c>
      <c r="H169" s="51" t="str">
        <f t="shared" si="186"/>
        <v>Main - Genoa - Spinnaker</v>
      </c>
      <c r="I169" s="171">
        <v>36933</v>
      </c>
      <c r="J169" s="171"/>
      <c r="K169" s="172" t="s">
        <v>587</v>
      </c>
      <c r="L169" s="172" t="s">
        <v>587</v>
      </c>
      <c r="M169" s="171"/>
      <c r="N169" s="87" t="s">
        <v>149</v>
      </c>
      <c r="O169" s="87"/>
      <c r="P169" s="185"/>
      <c r="Q169" s="175">
        <v>7.61</v>
      </c>
      <c r="R169" s="78"/>
      <c r="S169" s="59">
        <f t="shared" si="187"/>
        <v>0.19025000000000003</v>
      </c>
      <c r="T169" s="176">
        <v>7.0000000000000007E-2</v>
      </c>
      <c r="U169" s="176">
        <v>0</v>
      </c>
      <c r="V169" s="61">
        <f t="shared" si="188"/>
        <v>7.54</v>
      </c>
      <c r="W169" s="62">
        <f>IF(RL&gt;0,IF(RL&gt;'Look Ups'!R$7,'Look Ups'!R$8,('Look Ups'!R$3*RL^3+'Look Ups'!R$4*RL^2+'Look Ups'!R$5*RL+'Look Ups'!R$6)),0)</f>
        <v>0.292083575112</v>
      </c>
      <c r="X169" s="177">
        <v>805</v>
      </c>
      <c r="Y169" s="178">
        <v>0</v>
      </c>
      <c r="Z169" s="178"/>
      <c r="AA169" s="178"/>
      <c r="AB169" s="65">
        <f t="shared" si="189"/>
        <v>805</v>
      </c>
      <c r="AC169" s="66">
        <f t="shared" si="190"/>
        <v>805</v>
      </c>
      <c r="AD169" s="179" t="s">
        <v>129</v>
      </c>
      <c r="AE169" s="180" t="s">
        <v>130</v>
      </c>
      <c r="AF169" s="181" t="s">
        <v>131</v>
      </c>
      <c r="AG169" s="70">
        <f>IF(C169="",0,VLOOKUP(AD169,'Look Ups'!$B$3:$C$6,2,0)*VLOOKUP(AE169,'Look Ups'!$E$3:$F$5,2,0)*VLOOKUP(AF169,'Look Ups'!$H$3:$I$7,2,0))</f>
        <v>1</v>
      </c>
      <c r="AH169" s="80">
        <v>9.1999999999999993</v>
      </c>
      <c r="AI169" s="77">
        <v>9.0500000000000007</v>
      </c>
      <c r="AJ169" s="77">
        <v>2.84</v>
      </c>
      <c r="AK169" s="77">
        <v>0.60000000000000009</v>
      </c>
      <c r="AL169" s="77">
        <v>0.71</v>
      </c>
      <c r="AM169" s="77">
        <v>9.41</v>
      </c>
      <c r="AN169" s="77">
        <v>0.05</v>
      </c>
      <c r="AO169" s="77">
        <v>2.85</v>
      </c>
      <c r="AP169" s="77">
        <v>0.01</v>
      </c>
      <c r="AQ169" s="77">
        <v>0.61</v>
      </c>
      <c r="AR169" s="77" t="s">
        <v>132</v>
      </c>
      <c r="AS169" s="87">
        <v>0</v>
      </c>
      <c r="AT169" s="59">
        <f t="shared" si="191"/>
        <v>9.42</v>
      </c>
      <c r="AU169" s="59">
        <f t="shared" si="192"/>
        <v>2.1525374999999998</v>
      </c>
      <c r="AV169" s="72">
        <f>IF(C169="",0,(0.5*(_ML1*LPM)+0.5*(_ML1*HB)+0.66*(P*PR)+0.66*(_ML2*RDM)+0.66*(E*ER))*VLOOKUP(BATT,'Look Ups'!$N$3:$O$4,2,0))</f>
        <v>20.394169999999999</v>
      </c>
      <c r="AW169" s="182"/>
      <c r="AX169" s="183"/>
      <c r="AY169" s="80">
        <v>7.44</v>
      </c>
      <c r="AZ169" s="77">
        <v>2.95</v>
      </c>
      <c r="BA169" s="77">
        <v>3.15</v>
      </c>
      <c r="BB169" s="77">
        <v>0.05</v>
      </c>
      <c r="BC169" s="77">
        <v>6.98</v>
      </c>
      <c r="BD169" s="77"/>
      <c r="BE169" s="77"/>
      <c r="BF169" s="77">
        <v>-0.11</v>
      </c>
      <c r="BG169" s="77">
        <v>-7.0000000000000007E-2</v>
      </c>
      <c r="BH169" s="87">
        <v>0</v>
      </c>
      <c r="BI169" s="72">
        <f t="shared" si="193"/>
        <v>10.227474000000001</v>
      </c>
      <c r="BJ169" s="76"/>
      <c r="BK169" s="77"/>
      <c r="BL169" s="78"/>
      <c r="BM169" s="78"/>
      <c r="BN169" s="77"/>
      <c r="BO169" s="78"/>
      <c r="BP169" s="78"/>
      <c r="BQ169" s="79">
        <f t="shared" si="194"/>
        <v>0</v>
      </c>
      <c r="BR169" s="80"/>
      <c r="BS169" s="77"/>
      <c r="BT169" s="77"/>
      <c r="BU169" s="77"/>
      <c r="BV169" s="77"/>
      <c r="BW169" s="77"/>
      <c r="BX169" s="77"/>
      <c r="BY169" s="72">
        <f t="shared" si="195"/>
        <v>0</v>
      </c>
      <c r="BZ169" s="182">
        <v>7.54</v>
      </c>
      <c r="CA169" s="77">
        <v>11.76</v>
      </c>
      <c r="CB169" s="77">
        <v>9.91</v>
      </c>
      <c r="CC169" s="77">
        <v>7.31</v>
      </c>
      <c r="CD169" s="65">
        <f t="shared" si="196"/>
        <v>96.949602122015904</v>
      </c>
      <c r="CE169" s="87">
        <v>0</v>
      </c>
      <c r="CF169" s="79">
        <f t="shared" si="197"/>
        <v>66.41855000000001</v>
      </c>
      <c r="CG169" s="80"/>
      <c r="CH169" s="77"/>
      <c r="CI169" s="77"/>
      <c r="CJ169" s="77"/>
      <c r="CK169" s="59" t="str">
        <f t="shared" ref="CK169:CK197" si="214">IF(CG169&gt;0,CJ169/CG169*100,"")</f>
        <v/>
      </c>
      <c r="CL169" s="87">
        <v>0</v>
      </c>
      <c r="CM169" s="72">
        <f t="shared" si="198"/>
        <v>0</v>
      </c>
      <c r="CN169" s="81">
        <f t="shared" si="199"/>
        <v>1</v>
      </c>
      <c r="CO169" s="59">
        <f t="shared" si="200"/>
        <v>22.5467075</v>
      </c>
      <c r="CP169" s="59">
        <f t="shared" si="201"/>
        <v>1</v>
      </c>
      <c r="CQ169" s="59">
        <f t="shared" si="202"/>
        <v>10.227474000000001</v>
      </c>
      <c r="CR169" s="59">
        <f>IF(AV169&gt;0,'Look Ups'!$L$3,0)</f>
        <v>1</v>
      </c>
      <c r="CS169" s="59">
        <f t="shared" si="203"/>
        <v>0</v>
      </c>
      <c r="CT169" s="59">
        <f t="shared" ref="CT169:CT197" si="215">EFS*AS</f>
        <v>0</v>
      </c>
      <c r="CU169" s="59">
        <f t="shared" ref="CU169:CU197" si="216">IF(LPD&gt;0,0.72*(AD/(LPD^2))^0.3,0)</f>
        <v>0</v>
      </c>
      <c r="CV169" s="79">
        <f t="shared" ref="CV169:CV197" si="217">IF((AD-AG)&gt;0,0.3*(AD-AG)*EFD,0)</f>
        <v>0</v>
      </c>
      <c r="CW169" s="82" t="str">
        <f t="shared" si="204"/>
        <v>-</v>
      </c>
      <c r="CX169" s="65" t="str">
        <f t="shared" si="205"/>
        <v>valid</v>
      </c>
      <c r="CY169" s="66" t="str">
        <f t="shared" si="206"/>
        <v>MGSp</v>
      </c>
      <c r="CZ169" s="81">
        <f t="shared" si="207"/>
        <v>32.774181499999997</v>
      </c>
      <c r="DA169" s="59">
        <f t="shared" si="208"/>
        <v>16.857322800000002</v>
      </c>
      <c r="DB169" s="59">
        <f t="shared" si="209"/>
        <v>0</v>
      </c>
      <c r="DC169" s="59">
        <f t="shared" si="210"/>
        <v>16.57636742</v>
      </c>
      <c r="DD169" s="59">
        <f t="shared" si="211"/>
        <v>0</v>
      </c>
      <c r="DE169" s="79">
        <f t="shared" si="212"/>
        <v>34.104658717999996</v>
      </c>
      <c r="DF169" s="83">
        <f t="shared" si="213"/>
        <v>49.631504300000003</v>
      </c>
    </row>
    <row r="170" spans="2:110" ht="16.5" customHeight="1" x14ac:dyDescent="0.25">
      <c r="B170" s="168"/>
      <c r="C170" s="47" t="s">
        <v>226</v>
      </c>
      <c r="D170" s="48" t="s">
        <v>227</v>
      </c>
      <c r="E170" s="49" t="s">
        <v>228</v>
      </c>
      <c r="F170" s="50">
        <f t="shared" si="151"/>
        <v>0.77637189769721282</v>
      </c>
      <c r="G170" s="50" t="str">
        <f t="shared" ca="1" si="185"/>
        <v>Yes</v>
      </c>
      <c r="H170" s="51" t="str">
        <f t="shared" si="186"/>
        <v>Main - Genoa - Spinnaker</v>
      </c>
      <c r="I170" s="52">
        <v>41493</v>
      </c>
      <c r="J170" s="52">
        <v>41494</v>
      </c>
      <c r="K170" s="53" t="s">
        <v>174</v>
      </c>
      <c r="L170" s="53" t="s">
        <v>137</v>
      </c>
      <c r="M170" s="54"/>
      <c r="N170" s="55" t="s">
        <v>149</v>
      </c>
      <c r="O170" s="55"/>
      <c r="P170" s="56"/>
      <c r="Q170" s="57">
        <v>11.08</v>
      </c>
      <c r="R170" s="58"/>
      <c r="S170" s="59">
        <f t="shared" si="187"/>
        <v>0.27700000000000002</v>
      </c>
      <c r="T170" s="60">
        <v>0.13</v>
      </c>
      <c r="U170" s="60">
        <v>0</v>
      </c>
      <c r="V170" s="61">
        <f t="shared" si="188"/>
        <v>10.95</v>
      </c>
      <c r="W170" s="62">
        <f>IF(RL&gt;0,IF(RL&gt;'Look Ups'!R$7,'Look Ups'!R$8,('Look Ups'!R$3*RL^3+'Look Ups'!R$4*RL^2+'Look Ups'!R$5*RL+'Look Ups'!R$6)),0)</f>
        <v>0.29948826837500003</v>
      </c>
      <c r="X170" s="63">
        <v>4000</v>
      </c>
      <c r="Y170" s="64"/>
      <c r="Z170" s="64"/>
      <c r="AA170" s="64"/>
      <c r="AB170" s="65">
        <f t="shared" si="189"/>
        <v>4000</v>
      </c>
      <c r="AC170" s="66">
        <f t="shared" si="190"/>
        <v>4000</v>
      </c>
      <c r="AD170" s="67" t="s">
        <v>129</v>
      </c>
      <c r="AE170" s="68" t="s">
        <v>130</v>
      </c>
      <c r="AF170" s="69" t="s">
        <v>131</v>
      </c>
      <c r="AG170" s="70">
        <f>IF(C170="",0,VLOOKUP(AD170,'Look Ups'!$B$3:$C$6,2,0)*VLOOKUP(AE170,'Look Ups'!$E$3:$F$5,2,0)*VLOOKUP(AF170,'Look Ups'!$H$3:$I$7,2,0))</f>
        <v>1</v>
      </c>
      <c r="AH170" s="71">
        <v>12.92</v>
      </c>
      <c r="AI170" s="60">
        <v>11.3</v>
      </c>
      <c r="AJ170" s="60">
        <v>4.0999999999999996</v>
      </c>
      <c r="AK170" s="60">
        <v>1.2</v>
      </c>
      <c r="AL170" s="60">
        <v>0.84</v>
      </c>
      <c r="AM170" s="60">
        <v>12.26</v>
      </c>
      <c r="AN170" s="60">
        <v>0.12</v>
      </c>
      <c r="AO170" s="60">
        <v>4.3</v>
      </c>
      <c r="AP170" s="60">
        <v>0.03</v>
      </c>
      <c r="AQ170" s="60"/>
      <c r="AR170" s="60" t="s">
        <v>132</v>
      </c>
      <c r="AS170" s="75"/>
      <c r="AT170" s="59">
        <f t="shared" si="191"/>
        <v>12.29</v>
      </c>
      <c r="AU170" s="59">
        <f t="shared" si="192"/>
        <v>0</v>
      </c>
      <c r="AV170" s="72">
        <f>IF(C170="",0,(0.5*(_ML1*LPM)+0.5*(_ML1*HB)+0.66*(P*PR)+0.66*(_ML2*RDM)+0.66*(E*ER))*VLOOKUP(BATT,'Look Ups'!$N$3:$O$4,2,0))</f>
        <v>41.558852000000009</v>
      </c>
      <c r="AW170" s="73"/>
      <c r="AX170" s="74"/>
      <c r="AY170" s="71">
        <v>12.13</v>
      </c>
      <c r="AZ170" s="60">
        <v>4.49</v>
      </c>
      <c r="BA170" s="60">
        <v>4.91</v>
      </c>
      <c r="BB170" s="60">
        <v>0.12</v>
      </c>
      <c r="BC170" s="60">
        <v>10.85</v>
      </c>
      <c r="BD170" s="60"/>
      <c r="BE170" s="60"/>
      <c r="BF170" s="60">
        <v>-0.12</v>
      </c>
      <c r="BG170" s="60">
        <v>0.11</v>
      </c>
      <c r="BH170" s="75"/>
      <c r="BI170" s="72">
        <f t="shared" si="193"/>
        <v>27.642040000000001</v>
      </c>
      <c r="BJ170" s="76"/>
      <c r="BK170" s="77"/>
      <c r="BL170" s="78"/>
      <c r="BM170" s="78"/>
      <c r="BN170" s="77"/>
      <c r="BO170" s="78"/>
      <c r="BP170" s="78"/>
      <c r="BQ170" s="79">
        <f t="shared" si="194"/>
        <v>0</v>
      </c>
      <c r="BR170" s="80"/>
      <c r="BS170" s="77"/>
      <c r="BT170" s="77"/>
      <c r="BU170" s="77"/>
      <c r="BV170" s="77"/>
      <c r="BW170" s="77"/>
      <c r="BX170" s="77"/>
      <c r="BY170" s="72">
        <f t="shared" si="195"/>
        <v>0</v>
      </c>
      <c r="BZ170" s="73">
        <v>8.5500000000000007</v>
      </c>
      <c r="CA170" s="60">
        <v>15.05</v>
      </c>
      <c r="CB170" s="60">
        <v>12.25</v>
      </c>
      <c r="CC170" s="60">
        <v>8.3800000000000008</v>
      </c>
      <c r="CD170" s="65">
        <f t="shared" si="196"/>
        <v>98.011695906432749</v>
      </c>
      <c r="CE170" s="60"/>
      <c r="CF170" s="79">
        <f t="shared" si="197"/>
        <v>95.709250000000011</v>
      </c>
      <c r="CG170" s="71"/>
      <c r="CH170" s="60"/>
      <c r="CI170" s="60"/>
      <c r="CJ170" s="60"/>
      <c r="CK170" s="59" t="str">
        <f t="shared" si="214"/>
        <v/>
      </c>
      <c r="CL170" s="60"/>
      <c r="CM170" s="72">
        <f t="shared" si="198"/>
        <v>0</v>
      </c>
      <c r="CN170" s="81">
        <f t="shared" si="199"/>
        <v>1</v>
      </c>
      <c r="CO170" s="59">
        <f t="shared" si="200"/>
        <v>41.558852000000009</v>
      </c>
      <c r="CP170" s="59">
        <f t="shared" si="201"/>
        <v>1</v>
      </c>
      <c r="CQ170" s="59">
        <f t="shared" si="202"/>
        <v>27.642040000000001</v>
      </c>
      <c r="CR170" s="59">
        <f>IF(AV170&gt;0,'Look Ups'!$L$3,0)</f>
        <v>1</v>
      </c>
      <c r="CS170" s="59">
        <f t="shared" si="203"/>
        <v>0</v>
      </c>
      <c r="CT170" s="59">
        <f t="shared" si="215"/>
        <v>0</v>
      </c>
      <c r="CU170" s="59">
        <f t="shared" si="216"/>
        <v>0</v>
      </c>
      <c r="CV170" s="79">
        <f t="shared" si="217"/>
        <v>0</v>
      </c>
      <c r="CW170" s="82" t="str">
        <f t="shared" si="204"/>
        <v>-</v>
      </c>
      <c r="CX170" s="65" t="str">
        <f t="shared" si="205"/>
        <v>valid</v>
      </c>
      <c r="CY170" s="66" t="str">
        <f t="shared" si="206"/>
        <v>MGSp</v>
      </c>
      <c r="CZ170" s="81">
        <f t="shared" si="207"/>
        <v>69.20089200000001</v>
      </c>
      <c r="DA170" s="59">
        <f t="shared" si="208"/>
        <v>20.420163000000006</v>
      </c>
      <c r="DB170" s="59">
        <f t="shared" si="209"/>
        <v>0</v>
      </c>
      <c r="DC170" s="59">
        <f t="shared" si="210"/>
        <v>20.079826950000005</v>
      </c>
      <c r="DD170" s="59">
        <f t="shared" si="211"/>
        <v>0</v>
      </c>
      <c r="DE170" s="79">
        <f t="shared" si="212"/>
        <v>70.703907696000016</v>
      </c>
      <c r="DF170" s="83">
        <f t="shared" si="213"/>
        <v>89.621055000000013</v>
      </c>
    </row>
    <row r="171" spans="2:110" ht="16.5" customHeight="1" x14ac:dyDescent="0.25">
      <c r="B171" s="47"/>
      <c r="C171" s="168" t="s">
        <v>599</v>
      </c>
      <c r="D171" s="184" t="s">
        <v>170</v>
      </c>
      <c r="E171" s="170" t="s">
        <v>600</v>
      </c>
      <c r="F171" s="50">
        <f t="shared" si="151"/>
        <v>0.86348796393416827</v>
      </c>
      <c r="G171" s="50" t="str">
        <f t="shared" ca="1" si="185"/>
        <v>No</v>
      </c>
      <c r="H171" s="51" t="str">
        <f t="shared" si="186"/>
        <v>Main - Genoa - Spinnaker</v>
      </c>
      <c r="I171" s="171">
        <v>38995</v>
      </c>
      <c r="J171" s="171"/>
      <c r="K171" s="172" t="s">
        <v>601</v>
      </c>
      <c r="L171" s="172" t="s">
        <v>239</v>
      </c>
      <c r="M171" s="171"/>
      <c r="N171" s="173" t="s">
        <v>537</v>
      </c>
      <c r="O171" s="173"/>
      <c r="P171" s="185"/>
      <c r="Q171" s="175">
        <v>7.38</v>
      </c>
      <c r="R171" s="78"/>
      <c r="S171" s="59">
        <f t="shared" si="187"/>
        <v>0.1845</v>
      </c>
      <c r="T171" s="176">
        <v>0.2</v>
      </c>
      <c r="U171" s="176">
        <v>0</v>
      </c>
      <c r="V171" s="61">
        <f t="shared" si="188"/>
        <v>7.18</v>
      </c>
      <c r="W171" s="62">
        <f>IF(RL&gt;0,IF(RL&gt;'Look Ups'!R$7,'Look Ups'!R$8,('Look Ups'!R$3*RL^3+'Look Ups'!R$4*RL^2+'Look Ups'!R$5*RL+'Look Ups'!R$6)),0)</f>
        <v>0.29055146565599999</v>
      </c>
      <c r="X171" s="177">
        <v>935</v>
      </c>
      <c r="Y171" s="178"/>
      <c r="Z171" s="178"/>
      <c r="AA171" s="178"/>
      <c r="AB171" s="65">
        <f t="shared" si="189"/>
        <v>935</v>
      </c>
      <c r="AC171" s="66">
        <f t="shared" si="190"/>
        <v>935</v>
      </c>
      <c r="AD171" s="179" t="s">
        <v>129</v>
      </c>
      <c r="AE171" s="180" t="s">
        <v>130</v>
      </c>
      <c r="AF171" s="181" t="s">
        <v>131</v>
      </c>
      <c r="AG171" s="70">
        <f>IF(C171="",0,VLOOKUP(AD171,'Look Ups'!$B$3:$C$6,2,0)*VLOOKUP(AE171,'Look Ups'!$E$3:$F$5,2,0)*VLOOKUP(AF171,'Look Ups'!$H$3:$I$7,2,0))</f>
        <v>1</v>
      </c>
      <c r="AH171" s="80">
        <v>10.1</v>
      </c>
      <c r="AI171" s="77">
        <v>9.92</v>
      </c>
      <c r="AJ171" s="77">
        <v>3.14</v>
      </c>
      <c r="AK171" s="77">
        <v>0.78</v>
      </c>
      <c r="AL171" s="77">
        <v>0.74</v>
      </c>
      <c r="AM171" s="77">
        <v>9.77</v>
      </c>
      <c r="AN171" s="77">
        <v>0.12</v>
      </c>
      <c r="AO171" s="77">
        <v>3.26</v>
      </c>
      <c r="AP171" s="77">
        <v>0.04</v>
      </c>
      <c r="AQ171" s="77">
        <v>0.49</v>
      </c>
      <c r="AR171" s="77" t="s">
        <v>132</v>
      </c>
      <c r="AS171" s="87">
        <v>0</v>
      </c>
      <c r="AT171" s="59">
        <f t="shared" si="191"/>
        <v>9.8099999999999987</v>
      </c>
      <c r="AU171" s="59">
        <f t="shared" si="192"/>
        <v>1.7952374999999998</v>
      </c>
      <c r="AV171" s="72">
        <f>IF(C171="",0,(0.5*(_ML1*LPM)+0.5*(_ML1*HB)+0.66*(P*PR)+0.66*(_ML2*RDM)+0.66*(E*ER))*VLOOKUP(BATT,'Look Ups'!$N$3:$O$4,2,0))</f>
        <v>25.500775999999998</v>
      </c>
      <c r="AW171" s="182"/>
      <c r="AX171" s="183"/>
      <c r="AY171" s="80">
        <v>8.85</v>
      </c>
      <c r="AZ171" s="77">
        <v>2.57</v>
      </c>
      <c r="BA171" s="77">
        <v>2.89</v>
      </c>
      <c r="BB171" s="77">
        <v>0.18</v>
      </c>
      <c r="BC171" s="77">
        <v>7.92</v>
      </c>
      <c r="BD171" s="77"/>
      <c r="BE171" s="77"/>
      <c r="BF171" s="77">
        <v>0.04</v>
      </c>
      <c r="BG171" s="77">
        <v>0.03</v>
      </c>
      <c r="BH171" s="87">
        <v>0</v>
      </c>
      <c r="BI171" s="72">
        <f t="shared" si="193"/>
        <v>12.0999</v>
      </c>
      <c r="BJ171" s="76"/>
      <c r="BK171" s="77"/>
      <c r="BL171" s="78"/>
      <c r="BM171" s="78"/>
      <c r="BN171" s="77"/>
      <c r="BO171" s="78"/>
      <c r="BP171" s="78"/>
      <c r="BQ171" s="79">
        <f t="shared" si="194"/>
        <v>0</v>
      </c>
      <c r="BR171" s="80"/>
      <c r="BS171" s="77"/>
      <c r="BT171" s="77"/>
      <c r="BU171" s="77"/>
      <c r="BV171" s="77"/>
      <c r="BW171" s="77"/>
      <c r="BX171" s="77"/>
      <c r="BY171" s="72">
        <f t="shared" si="195"/>
        <v>0</v>
      </c>
      <c r="BZ171" s="182">
        <v>6.5</v>
      </c>
      <c r="CA171" s="77">
        <v>11.46</v>
      </c>
      <c r="CB171" s="77">
        <v>9.4600000000000009</v>
      </c>
      <c r="CC171" s="77">
        <v>5.87</v>
      </c>
      <c r="CD171" s="65">
        <f t="shared" si="196"/>
        <v>90.307692307692307</v>
      </c>
      <c r="CE171" s="87">
        <v>0</v>
      </c>
      <c r="CF171" s="79">
        <f t="shared" si="197"/>
        <v>52.265133333333338</v>
      </c>
      <c r="CG171" s="80"/>
      <c r="CH171" s="77"/>
      <c r="CI171" s="77"/>
      <c r="CJ171" s="77"/>
      <c r="CK171" s="59" t="str">
        <f t="shared" si="214"/>
        <v/>
      </c>
      <c r="CL171" s="87">
        <v>0</v>
      </c>
      <c r="CM171" s="72">
        <f t="shared" si="198"/>
        <v>0</v>
      </c>
      <c r="CN171" s="81">
        <f t="shared" si="199"/>
        <v>1</v>
      </c>
      <c r="CO171" s="59">
        <f t="shared" si="200"/>
        <v>27.296013499999994</v>
      </c>
      <c r="CP171" s="59">
        <f t="shared" si="201"/>
        <v>1</v>
      </c>
      <c r="CQ171" s="59">
        <f t="shared" si="202"/>
        <v>12.0999</v>
      </c>
      <c r="CR171" s="59">
        <f>IF(AV171&gt;0,'Look Ups'!$L$3,0)</f>
        <v>1</v>
      </c>
      <c r="CS171" s="59">
        <f t="shared" si="203"/>
        <v>0</v>
      </c>
      <c r="CT171" s="59">
        <f t="shared" si="215"/>
        <v>0</v>
      </c>
      <c r="CU171" s="59">
        <f t="shared" si="216"/>
        <v>0</v>
      </c>
      <c r="CV171" s="79">
        <f t="shared" si="217"/>
        <v>0</v>
      </c>
      <c r="CW171" s="82" t="str">
        <f t="shared" si="204"/>
        <v>-</v>
      </c>
      <c r="CX171" s="65" t="str">
        <f t="shared" si="205"/>
        <v>valid</v>
      </c>
      <c r="CY171" s="66" t="str">
        <f t="shared" si="206"/>
        <v>MGSp</v>
      </c>
      <c r="CZ171" s="81">
        <f t="shared" si="207"/>
        <v>39.395913499999992</v>
      </c>
      <c r="DA171" s="59">
        <f t="shared" si="208"/>
        <v>12.049570000000001</v>
      </c>
      <c r="DB171" s="59">
        <f t="shared" si="209"/>
        <v>0</v>
      </c>
      <c r="DC171" s="59">
        <f t="shared" si="210"/>
        <v>11.848743833333335</v>
      </c>
      <c r="DD171" s="59">
        <f t="shared" si="211"/>
        <v>0</v>
      </c>
      <c r="DE171" s="79">
        <f t="shared" si="212"/>
        <v>41.03709375799999</v>
      </c>
      <c r="DF171" s="83">
        <f t="shared" si="213"/>
        <v>51.445483499999995</v>
      </c>
    </row>
    <row r="172" spans="2:110" ht="16.5" customHeight="1" x14ac:dyDescent="0.25">
      <c r="B172" s="168"/>
      <c r="C172" s="168" t="s">
        <v>602</v>
      </c>
      <c r="D172" s="169" t="s">
        <v>340</v>
      </c>
      <c r="E172" s="170" t="s">
        <v>553</v>
      </c>
      <c r="F172" s="50">
        <f t="shared" si="151"/>
        <v>0.86681754679863277</v>
      </c>
      <c r="G172" s="50" t="str">
        <f t="shared" ca="1" si="185"/>
        <v>No</v>
      </c>
      <c r="H172" s="51" t="str">
        <f t="shared" si="186"/>
        <v>Main - Genoa - Spinnaker</v>
      </c>
      <c r="I172" s="171">
        <v>37988</v>
      </c>
      <c r="J172" s="171"/>
      <c r="K172" s="172" t="s">
        <v>603</v>
      </c>
      <c r="L172" s="172" t="s">
        <v>187</v>
      </c>
      <c r="M172" s="171"/>
      <c r="N172" s="173" t="s">
        <v>149</v>
      </c>
      <c r="O172" s="173"/>
      <c r="P172" s="174">
        <v>8</v>
      </c>
      <c r="Q172" s="175">
        <v>15.2</v>
      </c>
      <c r="R172" s="78"/>
      <c r="S172" s="59">
        <f t="shared" si="187"/>
        <v>0.38</v>
      </c>
      <c r="T172" s="176">
        <v>0</v>
      </c>
      <c r="U172" s="176">
        <v>0</v>
      </c>
      <c r="V172" s="61">
        <f t="shared" si="188"/>
        <v>15.2</v>
      </c>
      <c r="W172" s="62">
        <f>IF(RL&gt;0,IF(RL&gt;'Look Ups'!R$7,'Look Ups'!R$8,('Look Ups'!R$3*RL^3+'Look Ups'!R$4*RL^2+'Look Ups'!R$5*RL+'Look Ups'!R$6)),0)</f>
        <v>0.3</v>
      </c>
      <c r="X172" s="177">
        <v>6930</v>
      </c>
      <c r="Y172" s="178"/>
      <c r="Z172" s="178"/>
      <c r="AA172" s="178"/>
      <c r="AB172" s="65">
        <f t="shared" si="189"/>
        <v>6930</v>
      </c>
      <c r="AC172" s="66">
        <f t="shared" si="190"/>
        <v>6930</v>
      </c>
      <c r="AD172" s="179" t="s">
        <v>129</v>
      </c>
      <c r="AE172" s="180" t="s">
        <v>130</v>
      </c>
      <c r="AF172" s="181" t="s">
        <v>161</v>
      </c>
      <c r="AG172" s="70">
        <f>IF(C172="",0,VLOOKUP(AD172,'Look Ups'!$B$3:$C$6,2,0)*VLOOKUP(AE172,'Look Ups'!$E$3:$F$5,2,0)*VLOOKUP(AF172,'Look Ups'!$H$3:$I$7,2,0))</f>
        <v>0.99</v>
      </c>
      <c r="AH172" s="80">
        <v>18.93</v>
      </c>
      <c r="AI172" s="77">
        <v>17.52</v>
      </c>
      <c r="AJ172" s="77">
        <v>5.42</v>
      </c>
      <c r="AK172" s="77">
        <v>1.02</v>
      </c>
      <c r="AL172" s="77">
        <v>0.47</v>
      </c>
      <c r="AM172" s="77">
        <v>18.2</v>
      </c>
      <c r="AN172" s="77">
        <v>0.17</v>
      </c>
      <c r="AO172" s="77">
        <v>5.68</v>
      </c>
      <c r="AP172" s="77">
        <v>0</v>
      </c>
      <c r="AQ172" s="77"/>
      <c r="AR172" s="77" t="s">
        <v>132</v>
      </c>
      <c r="AS172" s="87">
        <v>0</v>
      </c>
      <c r="AT172" s="59">
        <f t="shared" si="191"/>
        <v>18.2</v>
      </c>
      <c r="AU172" s="59">
        <f t="shared" si="192"/>
        <v>0</v>
      </c>
      <c r="AV172" s="72">
        <f>IF(C172="",0,(0.5*(_ML1*LPM)+0.5*(_ML1*HB)+0.66*(P*PR)+0.66*(_ML2*RDM)+0.66*(E*ER))*VLOOKUP(BATT,'Look Ups'!$N$3:$O$4,2,0))</f>
        <v>68.431343999999996</v>
      </c>
      <c r="AW172" s="182"/>
      <c r="AX172" s="183"/>
      <c r="AY172" s="80">
        <v>17.079999999999998</v>
      </c>
      <c r="AZ172" s="77">
        <v>5.51</v>
      </c>
      <c r="BA172" s="77">
        <v>6.25</v>
      </c>
      <c r="BB172" s="77">
        <v>0.1</v>
      </c>
      <c r="BC172" s="77">
        <v>15.08</v>
      </c>
      <c r="BD172" s="77"/>
      <c r="BE172" s="77"/>
      <c r="BF172" s="77">
        <v>-0.5</v>
      </c>
      <c r="BG172" s="77">
        <v>0</v>
      </c>
      <c r="BH172" s="87"/>
      <c r="BI172" s="72">
        <f t="shared" si="193"/>
        <v>42.491499999999995</v>
      </c>
      <c r="BJ172" s="76"/>
      <c r="BK172" s="77"/>
      <c r="BL172" s="78"/>
      <c r="BM172" s="78"/>
      <c r="BN172" s="77"/>
      <c r="BO172" s="78"/>
      <c r="BP172" s="78"/>
      <c r="BQ172" s="79">
        <f t="shared" si="194"/>
        <v>0</v>
      </c>
      <c r="BR172" s="80"/>
      <c r="BS172" s="77"/>
      <c r="BT172" s="77"/>
      <c r="BU172" s="77"/>
      <c r="BV172" s="77"/>
      <c r="BW172" s="77"/>
      <c r="BX172" s="77"/>
      <c r="BY172" s="72">
        <f t="shared" si="195"/>
        <v>0</v>
      </c>
      <c r="BZ172" s="182">
        <v>12.04</v>
      </c>
      <c r="CA172" s="77">
        <v>20.6</v>
      </c>
      <c r="CB172" s="77">
        <v>16.5</v>
      </c>
      <c r="CC172" s="77">
        <v>10.28</v>
      </c>
      <c r="CD172" s="65">
        <f t="shared" si="196"/>
        <v>85.38205980066445</v>
      </c>
      <c r="CE172" s="77">
        <v>0</v>
      </c>
      <c r="CF172" s="79">
        <f t="shared" si="197"/>
        <v>164.35299999999998</v>
      </c>
      <c r="CG172" s="80"/>
      <c r="CH172" s="77"/>
      <c r="CI172" s="77"/>
      <c r="CJ172" s="77"/>
      <c r="CK172" s="59" t="str">
        <f t="shared" si="214"/>
        <v/>
      </c>
      <c r="CL172" s="77">
        <v>0</v>
      </c>
      <c r="CM172" s="72">
        <f t="shared" si="198"/>
        <v>0</v>
      </c>
      <c r="CN172" s="81">
        <f t="shared" si="199"/>
        <v>1</v>
      </c>
      <c r="CO172" s="59">
        <f t="shared" si="200"/>
        <v>68.431343999999996</v>
      </c>
      <c r="CP172" s="59">
        <f t="shared" si="201"/>
        <v>1</v>
      </c>
      <c r="CQ172" s="59">
        <f t="shared" si="202"/>
        <v>42.491499999999995</v>
      </c>
      <c r="CR172" s="59">
        <f>IF(AV172&gt;0,'Look Ups'!$L$3,0)</f>
        <v>1</v>
      </c>
      <c r="CS172" s="59">
        <f t="shared" si="203"/>
        <v>0</v>
      </c>
      <c r="CT172" s="59">
        <f t="shared" si="215"/>
        <v>0</v>
      </c>
      <c r="CU172" s="59">
        <f t="shared" si="216"/>
        <v>0</v>
      </c>
      <c r="CV172" s="79">
        <f t="shared" si="217"/>
        <v>0</v>
      </c>
      <c r="CW172" s="82" t="str">
        <f t="shared" si="204"/>
        <v>-</v>
      </c>
      <c r="CX172" s="65" t="str">
        <f t="shared" si="205"/>
        <v>valid</v>
      </c>
      <c r="CY172" s="66" t="str">
        <f t="shared" si="206"/>
        <v>MGSp</v>
      </c>
      <c r="CZ172" s="81">
        <f t="shared" si="207"/>
        <v>110.922844</v>
      </c>
      <c r="DA172" s="59">
        <f t="shared" si="208"/>
        <v>36.558449999999993</v>
      </c>
      <c r="DB172" s="59">
        <f t="shared" si="209"/>
        <v>0</v>
      </c>
      <c r="DC172" s="59">
        <f t="shared" si="210"/>
        <v>35.949142499999994</v>
      </c>
      <c r="DD172" s="59">
        <f t="shared" si="211"/>
        <v>0</v>
      </c>
      <c r="DE172" s="79">
        <f t="shared" si="212"/>
        <v>113.72434715199999</v>
      </c>
      <c r="DF172" s="83">
        <f t="shared" si="213"/>
        <v>147.48129399999999</v>
      </c>
    </row>
    <row r="173" spans="2:110" ht="16.5" customHeight="1" x14ac:dyDescent="0.25">
      <c r="B173" s="168"/>
      <c r="C173" s="168" t="s">
        <v>604</v>
      </c>
      <c r="D173" s="169" t="s">
        <v>167</v>
      </c>
      <c r="E173" s="170" t="s">
        <v>605</v>
      </c>
      <c r="F173" s="50">
        <f t="shared" si="151"/>
        <v>1.0665462799412437</v>
      </c>
      <c r="G173" s="50" t="str">
        <f t="shared" ca="1" si="185"/>
        <v>No</v>
      </c>
      <c r="H173" s="51" t="str">
        <f t="shared" si="186"/>
        <v>Main - Genoa - Spinnaker</v>
      </c>
      <c r="I173" s="171">
        <v>39890</v>
      </c>
      <c r="J173" s="171"/>
      <c r="K173" s="172" t="s">
        <v>174</v>
      </c>
      <c r="L173" s="172" t="s">
        <v>137</v>
      </c>
      <c r="M173" s="171"/>
      <c r="N173" s="173" t="s">
        <v>149</v>
      </c>
      <c r="O173" s="173"/>
      <c r="P173" s="186"/>
      <c r="Q173" s="175">
        <v>11.25</v>
      </c>
      <c r="R173" s="78"/>
      <c r="S173" s="59">
        <f t="shared" si="187"/>
        <v>0.28125</v>
      </c>
      <c r="T173" s="176">
        <v>0</v>
      </c>
      <c r="U173" s="176">
        <v>0</v>
      </c>
      <c r="V173" s="61">
        <f t="shared" si="188"/>
        <v>11.25</v>
      </c>
      <c r="W173" s="62">
        <f>IF(RL&gt;0,IF(RL&gt;'Look Ups'!R$7,'Look Ups'!R$8,('Look Ups'!R$3*RL^3+'Look Ups'!R$4*RL^2+'Look Ups'!R$5*RL+'Look Ups'!R$6)),0)</f>
        <v>0.29967382812499999</v>
      </c>
      <c r="X173" s="177">
        <v>2286</v>
      </c>
      <c r="Y173" s="178"/>
      <c r="Z173" s="178"/>
      <c r="AA173" s="178"/>
      <c r="AB173" s="65">
        <f t="shared" si="189"/>
        <v>2286</v>
      </c>
      <c r="AC173" s="66">
        <f t="shared" si="190"/>
        <v>2286</v>
      </c>
      <c r="AD173" s="179" t="s">
        <v>129</v>
      </c>
      <c r="AE173" s="180" t="s">
        <v>130</v>
      </c>
      <c r="AF173" s="181" t="s">
        <v>131</v>
      </c>
      <c r="AG173" s="70">
        <f>IF(C173="",0,VLOOKUP(AD173,'Look Ups'!$B$3:$C$6,2,0)*VLOOKUP(AE173,'Look Ups'!$E$3:$F$5,2,0)*VLOOKUP(AF173,'Look Ups'!$H$3:$I$7,2,0))</f>
        <v>1</v>
      </c>
      <c r="AH173" s="80">
        <v>17.440000000000001</v>
      </c>
      <c r="AI173" s="77">
        <v>16.98</v>
      </c>
      <c r="AJ173" s="77">
        <v>5</v>
      </c>
      <c r="AK173" s="77">
        <v>1.62</v>
      </c>
      <c r="AL173" s="77">
        <v>0.84</v>
      </c>
      <c r="AM173" s="77">
        <v>17.100000000000001</v>
      </c>
      <c r="AN173" s="77">
        <v>0.04</v>
      </c>
      <c r="AO173" s="77">
        <v>5.15</v>
      </c>
      <c r="AP173" s="77">
        <v>0</v>
      </c>
      <c r="AQ173" s="77">
        <v>0</v>
      </c>
      <c r="AR173" s="77" t="s">
        <v>132</v>
      </c>
      <c r="AS173" s="87"/>
      <c r="AT173" s="59">
        <f t="shared" si="191"/>
        <v>17.100000000000001</v>
      </c>
      <c r="AU173" s="59">
        <f t="shared" si="192"/>
        <v>0</v>
      </c>
      <c r="AV173" s="72">
        <f>IF(C173="",0,(0.5*(_ML1*LPM)+0.5*(_ML1*HB)+0.66*(P*PR)+0.66*(_ML2*RDM)+0.66*(E*ER))*VLOOKUP(BATT,'Look Ups'!$N$3:$O$4,2,0))</f>
        <v>67.591552000000007</v>
      </c>
      <c r="AW173" s="182"/>
      <c r="AX173" s="183"/>
      <c r="AY173" s="80">
        <v>14.8</v>
      </c>
      <c r="AZ173" s="77">
        <v>3.66</v>
      </c>
      <c r="BA173" s="77">
        <v>4.04</v>
      </c>
      <c r="BB173" s="77">
        <v>0.13</v>
      </c>
      <c r="BC173" s="77">
        <v>13.68</v>
      </c>
      <c r="BD173" s="77"/>
      <c r="BE173" s="77"/>
      <c r="BF173" s="77">
        <v>0.12</v>
      </c>
      <c r="BG173" s="77">
        <v>-0.14000000000000001</v>
      </c>
      <c r="BH173" s="87" t="s">
        <v>165</v>
      </c>
      <c r="BI173" s="72">
        <f t="shared" si="193"/>
        <v>27.146568000000002</v>
      </c>
      <c r="BJ173" s="76"/>
      <c r="BK173" s="77"/>
      <c r="BL173" s="78"/>
      <c r="BM173" s="78"/>
      <c r="BN173" s="77"/>
      <c r="BO173" s="78"/>
      <c r="BP173" s="78"/>
      <c r="BQ173" s="79">
        <f t="shared" si="194"/>
        <v>0</v>
      </c>
      <c r="BR173" s="80"/>
      <c r="BS173" s="77"/>
      <c r="BT173" s="77"/>
      <c r="BU173" s="77"/>
      <c r="BV173" s="77"/>
      <c r="BW173" s="77"/>
      <c r="BX173" s="77"/>
      <c r="BY173" s="72">
        <f t="shared" si="195"/>
        <v>0</v>
      </c>
      <c r="BZ173" s="182">
        <v>9.1300000000000008</v>
      </c>
      <c r="CA173" s="77">
        <v>20.23</v>
      </c>
      <c r="CB173" s="77">
        <v>16.7</v>
      </c>
      <c r="CC173" s="77">
        <v>7.62</v>
      </c>
      <c r="CD173" s="65">
        <f t="shared" si="196"/>
        <v>83.461117196056946</v>
      </c>
      <c r="CE173" s="77"/>
      <c r="CF173" s="79">
        <f t="shared" si="197"/>
        <v>121.89977500000001</v>
      </c>
      <c r="CG173" s="80"/>
      <c r="CH173" s="77"/>
      <c r="CI173" s="77"/>
      <c r="CJ173" s="77"/>
      <c r="CK173" s="59" t="str">
        <f t="shared" si="214"/>
        <v/>
      </c>
      <c r="CL173" s="77"/>
      <c r="CM173" s="72">
        <f t="shared" si="198"/>
        <v>0</v>
      </c>
      <c r="CN173" s="81">
        <f t="shared" si="199"/>
        <v>1</v>
      </c>
      <c r="CO173" s="59">
        <f t="shared" si="200"/>
        <v>67.591552000000007</v>
      </c>
      <c r="CP173" s="59">
        <f t="shared" si="201"/>
        <v>1</v>
      </c>
      <c r="CQ173" s="59">
        <f t="shared" si="202"/>
        <v>27.146568000000002</v>
      </c>
      <c r="CR173" s="59">
        <f>IF(AV173&gt;0,'Look Ups'!$L$3,0)</f>
        <v>1</v>
      </c>
      <c r="CS173" s="59">
        <f t="shared" si="203"/>
        <v>0</v>
      </c>
      <c r="CT173" s="59">
        <f t="shared" si="215"/>
        <v>0</v>
      </c>
      <c r="CU173" s="59">
        <f t="shared" si="216"/>
        <v>0</v>
      </c>
      <c r="CV173" s="79">
        <f t="shared" si="217"/>
        <v>0</v>
      </c>
      <c r="CW173" s="82" t="str">
        <f t="shared" si="204"/>
        <v>-</v>
      </c>
      <c r="CX173" s="65" t="str">
        <f t="shared" si="205"/>
        <v>valid</v>
      </c>
      <c r="CY173" s="66" t="str">
        <f t="shared" si="206"/>
        <v>MGSp</v>
      </c>
      <c r="CZ173" s="81">
        <f t="shared" si="207"/>
        <v>94.738120000000009</v>
      </c>
      <c r="DA173" s="59">
        <f t="shared" si="208"/>
        <v>28.4259621</v>
      </c>
      <c r="DB173" s="59">
        <f t="shared" si="209"/>
        <v>0</v>
      </c>
      <c r="DC173" s="59">
        <f t="shared" si="210"/>
        <v>27.952196064999999</v>
      </c>
      <c r="DD173" s="59">
        <f t="shared" si="211"/>
        <v>0</v>
      </c>
      <c r="DE173" s="79">
        <f t="shared" si="212"/>
        <v>99.106178272000008</v>
      </c>
      <c r="DF173" s="83">
        <f t="shared" si="213"/>
        <v>123.1640821</v>
      </c>
    </row>
    <row r="174" spans="2:110" ht="16.5" customHeight="1" x14ac:dyDescent="0.25">
      <c r="B174" s="168"/>
      <c r="C174" s="47" t="s">
        <v>234</v>
      </c>
      <c r="D174" s="48" t="s">
        <v>235</v>
      </c>
      <c r="E174" s="49" t="s">
        <v>516</v>
      </c>
      <c r="F174" s="50">
        <f t="shared" si="151"/>
        <v>0.8877634225236618</v>
      </c>
      <c r="G174" s="50" t="str">
        <f t="shared" ca="1" si="185"/>
        <v>No</v>
      </c>
      <c r="H174" s="51" t="str">
        <f t="shared" si="186"/>
        <v>Main - Genoa - Screacher - Spinnaker</v>
      </c>
      <c r="I174" s="52">
        <v>40222</v>
      </c>
      <c r="J174" s="52">
        <v>40241</v>
      </c>
      <c r="K174" s="53" t="s">
        <v>236</v>
      </c>
      <c r="L174" s="53" t="s">
        <v>143</v>
      </c>
      <c r="M174" s="54"/>
      <c r="N174" s="55" t="s">
        <v>127</v>
      </c>
      <c r="O174" s="55" t="s">
        <v>128</v>
      </c>
      <c r="P174" s="56"/>
      <c r="Q174" s="57">
        <v>7.07</v>
      </c>
      <c r="R174" s="58"/>
      <c r="S174" s="59">
        <f t="shared" si="187"/>
        <v>0.17675000000000002</v>
      </c>
      <c r="T174" s="60">
        <v>0.11</v>
      </c>
      <c r="U174" s="60">
        <v>0.1</v>
      </c>
      <c r="V174" s="61">
        <f t="shared" si="188"/>
        <v>6.86</v>
      </c>
      <c r="W174" s="62">
        <f>IF(RL&gt;0,IF(RL&gt;'Look Ups'!R$7,'Look Ups'!R$8,('Look Ups'!R$3*RL^3+'Look Ups'!R$4*RL^2+'Look Ups'!R$5*RL+'Look Ups'!R$6)),0)</f>
        <v>0.28903991224800002</v>
      </c>
      <c r="X174" s="63">
        <v>840</v>
      </c>
      <c r="Y174" s="64"/>
      <c r="Z174" s="64"/>
      <c r="AA174" s="64"/>
      <c r="AB174" s="65">
        <f t="shared" si="189"/>
        <v>840</v>
      </c>
      <c r="AC174" s="66">
        <f t="shared" si="190"/>
        <v>840</v>
      </c>
      <c r="AD174" s="67" t="s">
        <v>129</v>
      </c>
      <c r="AE174" s="68" t="s">
        <v>130</v>
      </c>
      <c r="AF174" s="69" t="s">
        <v>131</v>
      </c>
      <c r="AG174" s="70">
        <f>IF(C174="",0,VLOOKUP(AD174,'Look Ups'!$B$3:$C$6,2,0)*VLOOKUP(AE174,'Look Ups'!$E$3:$F$5,2,0)*VLOOKUP(AF174,'Look Ups'!$H$3:$I$7,2,0))</f>
        <v>1</v>
      </c>
      <c r="AH174" s="71">
        <v>10.46</v>
      </c>
      <c r="AI174" s="60">
        <v>10.26</v>
      </c>
      <c r="AJ174" s="60">
        <v>2.94</v>
      </c>
      <c r="AK174" s="60">
        <v>0.74</v>
      </c>
      <c r="AL174" s="60">
        <v>0.60000000000000009</v>
      </c>
      <c r="AM174" s="60">
        <v>10.18</v>
      </c>
      <c r="AN174" s="60">
        <v>0.08</v>
      </c>
      <c r="AO174" s="60">
        <v>2.94</v>
      </c>
      <c r="AP174" s="60">
        <v>0.08</v>
      </c>
      <c r="AQ174" s="60">
        <v>0.45</v>
      </c>
      <c r="AR174" s="60" t="s">
        <v>132</v>
      </c>
      <c r="AS174" s="75" t="s">
        <v>237</v>
      </c>
      <c r="AT174" s="59">
        <f t="shared" si="191"/>
        <v>10.26</v>
      </c>
      <c r="AU174" s="59">
        <f t="shared" si="192"/>
        <v>1.717875</v>
      </c>
      <c r="AV174" s="72">
        <f>IF(C174="",0,(0.5*(_ML1*LPM)+0.5*(_ML1*HB)+0.66*(P*PR)+0.66*(_ML2*RDM)+0.66*(E*ER))*VLOOKUP(BATT,'Look Ups'!$N$3:$O$4,2,0))</f>
        <v>24.002096000000002</v>
      </c>
      <c r="AW174" s="73"/>
      <c r="AX174" s="74"/>
      <c r="AY174" s="71">
        <v>9.11</v>
      </c>
      <c r="AZ174" s="60">
        <v>2.4700000000000002</v>
      </c>
      <c r="BA174" s="60">
        <v>2.89</v>
      </c>
      <c r="BB174" s="60">
        <v>0.09</v>
      </c>
      <c r="BC174" s="60">
        <v>7.97</v>
      </c>
      <c r="BD174" s="60"/>
      <c r="BE174" s="60"/>
      <c r="BF174" s="60">
        <v>0.06</v>
      </c>
      <c r="BG174" s="60">
        <v>0.31</v>
      </c>
      <c r="BH174" s="75" t="s">
        <v>195</v>
      </c>
      <c r="BI174" s="72">
        <f t="shared" si="193"/>
        <v>13.602034</v>
      </c>
      <c r="BJ174" s="76"/>
      <c r="BK174" s="77"/>
      <c r="BL174" s="78"/>
      <c r="BM174" s="78"/>
      <c r="BN174" s="77"/>
      <c r="BO174" s="78"/>
      <c r="BP174" s="78"/>
      <c r="BQ174" s="79">
        <f t="shared" si="194"/>
        <v>0</v>
      </c>
      <c r="BR174" s="80"/>
      <c r="BS174" s="77"/>
      <c r="BT174" s="77"/>
      <c r="BU174" s="77"/>
      <c r="BV174" s="77"/>
      <c r="BW174" s="77"/>
      <c r="BX174" s="77"/>
      <c r="BY174" s="72">
        <f t="shared" si="195"/>
        <v>0</v>
      </c>
      <c r="BZ174" s="73">
        <v>6.5</v>
      </c>
      <c r="CA174" s="60">
        <v>12</v>
      </c>
      <c r="CB174" s="60">
        <v>10.23</v>
      </c>
      <c r="CC174" s="60">
        <v>5.92</v>
      </c>
      <c r="CD174" s="65">
        <f t="shared" si="196"/>
        <v>91.07692307692308</v>
      </c>
      <c r="CE174" s="60"/>
      <c r="CF174" s="79">
        <f t="shared" si="197"/>
        <v>55.908450000000002</v>
      </c>
      <c r="CG174" s="71">
        <v>5.77</v>
      </c>
      <c r="CH174" s="60">
        <v>10.32</v>
      </c>
      <c r="CI174" s="60">
        <v>9.1300000000000008</v>
      </c>
      <c r="CJ174" s="60">
        <v>2.96</v>
      </c>
      <c r="CK174" s="59">
        <f t="shared" si="214"/>
        <v>51.299826689774697</v>
      </c>
      <c r="CL174" s="60"/>
      <c r="CM174" s="72">
        <f t="shared" si="198"/>
        <v>28.542875000000002</v>
      </c>
      <c r="CN174" s="81">
        <f t="shared" si="199"/>
        <v>1</v>
      </c>
      <c r="CO174" s="59">
        <f t="shared" si="200"/>
        <v>25.719971000000001</v>
      </c>
      <c r="CP174" s="59">
        <f t="shared" si="201"/>
        <v>1</v>
      </c>
      <c r="CQ174" s="59">
        <f t="shared" si="202"/>
        <v>13.602034</v>
      </c>
      <c r="CR174" s="59">
        <f>IF(AV174&gt;0,'Look Ups'!$L$3,0)</f>
        <v>1</v>
      </c>
      <c r="CS174" s="59">
        <f t="shared" si="203"/>
        <v>0</v>
      </c>
      <c r="CT174" s="59">
        <f t="shared" si="215"/>
        <v>0</v>
      </c>
      <c r="CU174" s="59">
        <f t="shared" si="216"/>
        <v>0</v>
      </c>
      <c r="CV174" s="79">
        <f t="shared" si="217"/>
        <v>0</v>
      </c>
      <c r="CW174" s="82" t="str">
        <f t="shared" si="204"/>
        <v>valid</v>
      </c>
      <c r="CX174" s="65" t="str">
        <f t="shared" si="205"/>
        <v>valid</v>
      </c>
      <c r="CY174" s="66" t="str">
        <f t="shared" si="206"/>
        <v>MGScrSp</v>
      </c>
      <c r="CZ174" s="81">
        <f t="shared" si="207"/>
        <v>39.322005000000004</v>
      </c>
      <c r="DA174" s="59">
        <f t="shared" si="208"/>
        <v>12.691924799999999</v>
      </c>
      <c r="DB174" s="59">
        <f t="shared" si="209"/>
        <v>5.2292943500000009</v>
      </c>
      <c r="DC174" s="59">
        <f t="shared" si="210"/>
        <v>12.480392719999999</v>
      </c>
      <c r="DD174" s="59">
        <f t="shared" si="211"/>
        <v>0.82174625500000009</v>
      </c>
      <c r="DE174" s="79">
        <f t="shared" si="212"/>
        <v>40.630742196000007</v>
      </c>
      <c r="DF174" s="83">
        <f t="shared" si="213"/>
        <v>52.624143975000003</v>
      </c>
    </row>
    <row r="175" spans="2:110" ht="16.5" customHeight="1" x14ac:dyDescent="0.25">
      <c r="B175" s="47"/>
      <c r="C175" s="168" t="s">
        <v>606</v>
      </c>
      <c r="D175" s="169" t="s">
        <v>607</v>
      </c>
      <c r="E175" s="170" t="s">
        <v>608</v>
      </c>
      <c r="F175" s="50">
        <f t="shared" si="151"/>
        <v>0.85212855695271639</v>
      </c>
      <c r="G175" s="50" t="str">
        <f t="shared" ca="1" si="185"/>
        <v>No</v>
      </c>
      <c r="H175" s="51" t="str">
        <f t="shared" si="186"/>
        <v>Main - Genoa - Spinnaker</v>
      </c>
      <c r="I175" s="171">
        <v>39277</v>
      </c>
      <c r="J175" s="171"/>
      <c r="K175" s="172" t="s">
        <v>571</v>
      </c>
      <c r="L175" s="172" t="s">
        <v>390</v>
      </c>
      <c r="M175" s="171"/>
      <c r="N175" s="173" t="s">
        <v>149</v>
      </c>
      <c r="O175" s="173"/>
      <c r="P175" s="186"/>
      <c r="Q175" s="175">
        <v>9.2799999999999994</v>
      </c>
      <c r="R175" s="78"/>
      <c r="S175" s="59">
        <f t="shared" si="187"/>
        <v>0.23199999999999998</v>
      </c>
      <c r="T175" s="176">
        <v>0.28000000000000003</v>
      </c>
      <c r="U175" s="176">
        <v>0</v>
      </c>
      <c r="V175" s="61">
        <f t="shared" si="188"/>
        <v>9</v>
      </c>
      <c r="W175" s="62">
        <f>IF(RL&gt;0,IF(RL&gt;'Look Ups'!R$7,'Look Ups'!R$8,('Look Ups'!R$3*RL^3+'Look Ups'!R$4*RL^2+'Look Ups'!R$5*RL+'Look Ups'!R$6)),0)</f>
        <v>0.296657</v>
      </c>
      <c r="X175" s="177">
        <v>1830</v>
      </c>
      <c r="Y175" s="178"/>
      <c r="Z175" s="178"/>
      <c r="AA175" s="178"/>
      <c r="AB175" s="65">
        <f t="shared" si="189"/>
        <v>1830</v>
      </c>
      <c r="AC175" s="66">
        <f t="shared" si="190"/>
        <v>1830</v>
      </c>
      <c r="AD175" s="179" t="s">
        <v>129</v>
      </c>
      <c r="AE175" s="180" t="s">
        <v>130</v>
      </c>
      <c r="AF175" s="181" t="s">
        <v>131</v>
      </c>
      <c r="AG175" s="70">
        <f>IF(C175="",0,VLOOKUP(AD175,'Look Ups'!$B$3:$C$6,2,0)*VLOOKUP(AE175,'Look Ups'!$E$3:$F$5,2,0)*VLOOKUP(AF175,'Look Ups'!$H$3:$I$7,2,0))</f>
        <v>1</v>
      </c>
      <c r="AH175" s="80">
        <v>11.98</v>
      </c>
      <c r="AI175" s="77">
        <v>11.87</v>
      </c>
      <c r="AJ175" s="77">
        <v>3.67</v>
      </c>
      <c r="AK175" s="77">
        <v>0.79</v>
      </c>
      <c r="AL175" s="77">
        <v>0.57000000000000006</v>
      </c>
      <c r="AM175" s="77">
        <v>12.23</v>
      </c>
      <c r="AN175" s="77">
        <v>0.13</v>
      </c>
      <c r="AO175" s="77">
        <v>3.69</v>
      </c>
      <c r="AP175" s="77">
        <v>0.85</v>
      </c>
      <c r="AQ175" s="77"/>
      <c r="AR175" s="77" t="s">
        <v>132</v>
      </c>
      <c r="AS175" s="87">
        <v>0</v>
      </c>
      <c r="AT175" s="59">
        <f t="shared" si="191"/>
        <v>13.08</v>
      </c>
      <c r="AU175" s="59">
        <f t="shared" si="192"/>
        <v>0</v>
      </c>
      <c r="AV175" s="72">
        <f>IF(C175="",0,(0.5*(_ML1*LPM)+0.5*(_ML1*HB)+0.66*(P*PR)+0.66*(_ML2*RDM)+0.66*(E*ER))*VLOOKUP(BATT,'Look Ups'!$N$3:$O$4,2,0))</f>
        <v>34.300318000000004</v>
      </c>
      <c r="AW175" s="182"/>
      <c r="AX175" s="183"/>
      <c r="AY175" s="80">
        <v>10.4</v>
      </c>
      <c r="AZ175" s="77">
        <v>3.77</v>
      </c>
      <c r="BA175" s="77">
        <v>4.04</v>
      </c>
      <c r="BB175" s="77">
        <v>0.13</v>
      </c>
      <c r="BC175" s="77">
        <v>9.6</v>
      </c>
      <c r="BD175" s="77"/>
      <c r="BE175" s="77"/>
      <c r="BF175" s="77">
        <v>-0.32</v>
      </c>
      <c r="BG175" s="77">
        <v>0.06</v>
      </c>
      <c r="BH175" s="87">
        <v>0</v>
      </c>
      <c r="BI175" s="72">
        <f t="shared" si="193"/>
        <v>18.334952000000001</v>
      </c>
      <c r="BJ175" s="76"/>
      <c r="BK175" s="77"/>
      <c r="BL175" s="78"/>
      <c r="BM175" s="78"/>
      <c r="BN175" s="77"/>
      <c r="BO175" s="78"/>
      <c r="BP175" s="78"/>
      <c r="BQ175" s="79">
        <f t="shared" si="194"/>
        <v>0</v>
      </c>
      <c r="BR175" s="80"/>
      <c r="BS175" s="77"/>
      <c r="BT175" s="77"/>
      <c r="BU175" s="77"/>
      <c r="BV175" s="77"/>
      <c r="BW175" s="77"/>
      <c r="BX175" s="77"/>
      <c r="BY175" s="72">
        <f t="shared" si="195"/>
        <v>0</v>
      </c>
      <c r="BZ175" s="182">
        <v>7.86</v>
      </c>
      <c r="CA175" s="77">
        <v>14.75</v>
      </c>
      <c r="CB175" s="77">
        <v>11.95</v>
      </c>
      <c r="CC175" s="77">
        <v>6.78</v>
      </c>
      <c r="CD175" s="65">
        <f t="shared" si="196"/>
        <v>86.25954198473282</v>
      </c>
      <c r="CE175" s="77">
        <v>0</v>
      </c>
      <c r="CF175" s="79">
        <f t="shared" si="197"/>
        <v>77.830500000000001</v>
      </c>
      <c r="CG175" s="80"/>
      <c r="CH175" s="77"/>
      <c r="CI175" s="77"/>
      <c r="CJ175" s="77"/>
      <c r="CK175" s="59" t="str">
        <f t="shared" si="214"/>
        <v/>
      </c>
      <c r="CL175" s="77">
        <v>0</v>
      </c>
      <c r="CM175" s="72">
        <f t="shared" si="198"/>
        <v>0</v>
      </c>
      <c r="CN175" s="81">
        <f t="shared" si="199"/>
        <v>1</v>
      </c>
      <c r="CO175" s="59">
        <f t="shared" si="200"/>
        <v>34.300318000000004</v>
      </c>
      <c r="CP175" s="59">
        <f t="shared" si="201"/>
        <v>1</v>
      </c>
      <c r="CQ175" s="59">
        <f t="shared" si="202"/>
        <v>18.334952000000001</v>
      </c>
      <c r="CR175" s="59">
        <f>IF(AV175&gt;0,'Look Ups'!$L$3,0)</f>
        <v>1</v>
      </c>
      <c r="CS175" s="59">
        <f t="shared" si="203"/>
        <v>0</v>
      </c>
      <c r="CT175" s="59">
        <f t="shared" si="215"/>
        <v>0</v>
      </c>
      <c r="CU175" s="59">
        <f t="shared" si="216"/>
        <v>0</v>
      </c>
      <c r="CV175" s="79">
        <f t="shared" si="217"/>
        <v>0</v>
      </c>
      <c r="CW175" s="82" t="str">
        <f t="shared" si="204"/>
        <v>-</v>
      </c>
      <c r="CX175" s="65" t="str">
        <f t="shared" si="205"/>
        <v>valid</v>
      </c>
      <c r="CY175" s="66" t="str">
        <f t="shared" si="206"/>
        <v>MGSp</v>
      </c>
      <c r="CZ175" s="81">
        <f t="shared" si="207"/>
        <v>52.635270000000006</v>
      </c>
      <c r="DA175" s="59">
        <f t="shared" si="208"/>
        <v>17.848664400000001</v>
      </c>
      <c r="DB175" s="59">
        <f t="shared" si="209"/>
        <v>0</v>
      </c>
      <c r="DC175" s="59">
        <f t="shared" si="210"/>
        <v>17.551186659999999</v>
      </c>
      <c r="DD175" s="59">
        <f t="shared" si="211"/>
        <v>0</v>
      </c>
      <c r="DE175" s="79">
        <f t="shared" si="212"/>
        <v>54.359529528000003</v>
      </c>
      <c r="DF175" s="83">
        <f t="shared" si="213"/>
        <v>70.48393440000001</v>
      </c>
    </row>
    <row r="176" spans="2:110" ht="16.5" customHeight="1" x14ac:dyDescent="0.25">
      <c r="B176" s="168"/>
      <c r="C176" s="168" t="s">
        <v>609</v>
      </c>
      <c r="D176" s="169" t="s">
        <v>610</v>
      </c>
      <c r="E176" s="170" t="s">
        <v>611</v>
      </c>
      <c r="F176" s="50">
        <f t="shared" si="151"/>
        <v>0.6287402139442414</v>
      </c>
      <c r="G176" s="50" t="str">
        <f t="shared" ca="1" si="185"/>
        <v>No</v>
      </c>
      <c r="H176" s="51" t="str">
        <f t="shared" si="186"/>
        <v>Main - Genoa - Spinnaker</v>
      </c>
      <c r="I176" s="171">
        <v>39354</v>
      </c>
      <c r="J176" s="171"/>
      <c r="K176" s="172" t="s">
        <v>502</v>
      </c>
      <c r="L176" s="172" t="s">
        <v>390</v>
      </c>
      <c r="M176" s="171"/>
      <c r="N176" s="173" t="s">
        <v>537</v>
      </c>
      <c r="O176" s="173"/>
      <c r="P176" s="186"/>
      <c r="Q176" s="175">
        <v>5.94</v>
      </c>
      <c r="R176" s="78"/>
      <c r="S176" s="59">
        <f t="shared" si="187"/>
        <v>0.14850000000000002</v>
      </c>
      <c r="T176" s="176">
        <v>0.37</v>
      </c>
      <c r="U176" s="176">
        <v>0</v>
      </c>
      <c r="V176" s="61">
        <f t="shared" si="188"/>
        <v>5.57</v>
      </c>
      <c r="W176" s="62">
        <f>IF(RL&gt;0,IF(RL&gt;'Look Ups'!R$7,'Look Ups'!R$8,('Look Ups'!R$3*RL^3+'Look Ups'!R$4*RL^2+'Look Ups'!R$5*RL+'Look Ups'!R$6)),0)</f>
        <v>0.28138282686900001</v>
      </c>
      <c r="X176" s="177">
        <v>785</v>
      </c>
      <c r="Y176" s="178"/>
      <c r="Z176" s="178"/>
      <c r="AA176" s="178"/>
      <c r="AB176" s="65">
        <f t="shared" si="189"/>
        <v>785</v>
      </c>
      <c r="AC176" s="66">
        <f t="shared" si="190"/>
        <v>785</v>
      </c>
      <c r="AD176" s="179" t="s">
        <v>129</v>
      </c>
      <c r="AE176" s="180" t="s">
        <v>130</v>
      </c>
      <c r="AF176" s="181" t="s">
        <v>131</v>
      </c>
      <c r="AG176" s="70">
        <f>IF(C176="",0,VLOOKUP(AD176,'Look Ups'!$B$3:$C$6,2,0)*VLOOKUP(AE176,'Look Ups'!$E$3:$F$5,2,0)*VLOOKUP(AF176,'Look Ups'!$H$3:$I$7,2,0))</f>
        <v>1</v>
      </c>
      <c r="AH176" s="80">
        <v>7.6</v>
      </c>
      <c r="AI176" s="77">
        <v>7.46</v>
      </c>
      <c r="AJ176" s="77">
        <v>2.31</v>
      </c>
      <c r="AK176" s="77">
        <v>0.12</v>
      </c>
      <c r="AL176" s="77">
        <v>0.64</v>
      </c>
      <c r="AM176" s="77">
        <v>7.35</v>
      </c>
      <c r="AN176" s="77">
        <v>0.13</v>
      </c>
      <c r="AO176" s="77">
        <v>2.4</v>
      </c>
      <c r="AP176" s="77">
        <v>0.05</v>
      </c>
      <c r="AQ176" s="77"/>
      <c r="AR176" s="77" t="s">
        <v>132</v>
      </c>
      <c r="AS176" s="87">
        <v>0</v>
      </c>
      <c r="AT176" s="59">
        <f t="shared" si="191"/>
        <v>7.3999999999999995</v>
      </c>
      <c r="AU176" s="59">
        <f t="shared" si="192"/>
        <v>0</v>
      </c>
      <c r="AV176" s="72">
        <f>IF(C176="",0,(0.5*(_ML1*LPM)+0.5*(_ML1*HB)+0.66*(P*PR)+0.66*(_ML2*RDM)+0.66*(E*ER))*VLOOKUP(BATT,'Look Ups'!$N$3:$O$4,2,0))</f>
        <v>13.094934</v>
      </c>
      <c r="AW176" s="182"/>
      <c r="AX176" s="183"/>
      <c r="AY176" s="80">
        <v>6.49</v>
      </c>
      <c r="AZ176" s="77">
        <v>1.91</v>
      </c>
      <c r="BA176" s="77">
        <v>2.25</v>
      </c>
      <c r="BB176" s="77">
        <v>0.08</v>
      </c>
      <c r="BC176" s="77">
        <v>5.7</v>
      </c>
      <c r="BD176" s="77"/>
      <c r="BE176" s="77"/>
      <c r="BF176" s="77">
        <v>0</v>
      </c>
      <c r="BG176" s="77">
        <v>0</v>
      </c>
      <c r="BH176" s="87">
        <v>0</v>
      </c>
      <c r="BI176" s="72">
        <f t="shared" si="193"/>
        <v>6.3167499999999999</v>
      </c>
      <c r="BJ176" s="76"/>
      <c r="BK176" s="77"/>
      <c r="BL176" s="78"/>
      <c r="BM176" s="78"/>
      <c r="BN176" s="77"/>
      <c r="BO176" s="78"/>
      <c r="BP176" s="78"/>
      <c r="BQ176" s="79">
        <f t="shared" si="194"/>
        <v>0</v>
      </c>
      <c r="BR176" s="80"/>
      <c r="BS176" s="77"/>
      <c r="BT176" s="77"/>
      <c r="BU176" s="77"/>
      <c r="BV176" s="77"/>
      <c r="BW176" s="77"/>
      <c r="BX176" s="77"/>
      <c r="BY176" s="72">
        <f t="shared" si="195"/>
        <v>0</v>
      </c>
      <c r="BZ176" s="182">
        <v>4.9000000000000004</v>
      </c>
      <c r="CA176" s="77">
        <v>6.4</v>
      </c>
      <c r="CB176" s="77">
        <v>7.92</v>
      </c>
      <c r="CC176" s="77">
        <v>4.18</v>
      </c>
      <c r="CD176" s="65">
        <f t="shared" si="196"/>
        <v>85.306122448979579</v>
      </c>
      <c r="CE176" s="77">
        <v>0</v>
      </c>
      <c r="CF176" s="79">
        <f t="shared" si="197"/>
        <v>25.799866666666667</v>
      </c>
      <c r="CG176" s="80"/>
      <c r="CH176" s="77"/>
      <c r="CI176" s="77"/>
      <c r="CJ176" s="77"/>
      <c r="CK176" s="59" t="str">
        <f t="shared" si="214"/>
        <v/>
      </c>
      <c r="CL176" s="77">
        <v>0</v>
      </c>
      <c r="CM176" s="72">
        <f t="shared" si="198"/>
        <v>0</v>
      </c>
      <c r="CN176" s="81">
        <f t="shared" si="199"/>
        <v>1</v>
      </c>
      <c r="CO176" s="59">
        <f t="shared" si="200"/>
        <v>13.094934</v>
      </c>
      <c r="CP176" s="59">
        <f t="shared" si="201"/>
        <v>1</v>
      </c>
      <c r="CQ176" s="59">
        <f t="shared" si="202"/>
        <v>6.3167499999999999</v>
      </c>
      <c r="CR176" s="59">
        <f>IF(AV176&gt;0,'Look Ups'!$L$3,0)</f>
        <v>1</v>
      </c>
      <c r="CS176" s="59">
        <f t="shared" si="203"/>
        <v>0</v>
      </c>
      <c r="CT176" s="59">
        <f t="shared" si="215"/>
        <v>0</v>
      </c>
      <c r="CU176" s="59">
        <f t="shared" si="216"/>
        <v>0</v>
      </c>
      <c r="CV176" s="79">
        <f t="shared" si="217"/>
        <v>0</v>
      </c>
      <c r="CW176" s="82" t="str">
        <f t="shared" si="204"/>
        <v>-</v>
      </c>
      <c r="CX176" s="65" t="str">
        <f t="shared" si="205"/>
        <v>valid</v>
      </c>
      <c r="CY176" s="66" t="str">
        <f t="shared" si="206"/>
        <v>MGSp</v>
      </c>
      <c r="CZ176" s="81">
        <f t="shared" si="207"/>
        <v>19.411684000000001</v>
      </c>
      <c r="DA176" s="59">
        <f t="shared" si="208"/>
        <v>5.8449350000000004</v>
      </c>
      <c r="DB176" s="59">
        <f t="shared" si="209"/>
        <v>0</v>
      </c>
      <c r="DC176" s="59">
        <f t="shared" si="210"/>
        <v>5.747519416666667</v>
      </c>
      <c r="DD176" s="59">
        <f t="shared" si="211"/>
        <v>0</v>
      </c>
      <c r="DE176" s="79">
        <f t="shared" si="212"/>
        <v>20.143727871999999</v>
      </c>
      <c r="DF176" s="83">
        <f t="shared" si="213"/>
        <v>25.256619000000001</v>
      </c>
    </row>
    <row r="177" spans="2:110" ht="16.5" customHeight="1" x14ac:dyDescent="0.25">
      <c r="B177" s="168"/>
      <c r="C177" s="168" t="s">
        <v>612</v>
      </c>
      <c r="D177" s="169" t="s">
        <v>613</v>
      </c>
      <c r="E177" s="170" t="s">
        <v>312</v>
      </c>
      <c r="F177" s="50">
        <f t="shared" si="151"/>
        <v>0.82483648968492917</v>
      </c>
      <c r="G177" s="50" t="str">
        <f t="shared" ca="1" si="185"/>
        <v>No</v>
      </c>
      <c r="H177" s="51" t="str">
        <f t="shared" si="186"/>
        <v>Main - Genoa - Spinnaker</v>
      </c>
      <c r="I177" s="171">
        <v>37829</v>
      </c>
      <c r="J177" s="171"/>
      <c r="K177" s="172" t="s">
        <v>614</v>
      </c>
      <c r="L177" s="172" t="s">
        <v>390</v>
      </c>
      <c r="M177" s="171"/>
      <c r="N177" s="173" t="s">
        <v>537</v>
      </c>
      <c r="O177" s="173"/>
      <c r="P177" s="186">
        <v>5.5</v>
      </c>
      <c r="Q177" s="175">
        <v>7.49</v>
      </c>
      <c r="R177" s="78"/>
      <c r="S177" s="59">
        <f t="shared" si="187"/>
        <v>0.18725000000000003</v>
      </c>
      <c r="T177" s="176">
        <v>0.23</v>
      </c>
      <c r="U177" s="176">
        <v>0</v>
      </c>
      <c r="V177" s="61">
        <f t="shared" si="188"/>
        <v>7.26</v>
      </c>
      <c r="W177" s="62">
        <f>IF(RL&gt;0,IF(RL&gt;'Look Ups'!R$7,'Look Ups'!R$8,('Look Ups'!R$3*RL^3+'Look Ups'!R$4*RL^2+'Look Ups'!R$5*RL+'Look Ups'!R$6)),0)</f>
        <v>0.290907046808</v>
      </c>
      <c r="X177" s="177">
        <v>905</v>
      </c>
      <c r="Y177" s="178"/>
      <c r="Z177" s="178"/>
      <c r="AA177" s="178"/>
      <c r="AB177" s="65">
        <f t="shared" si="189"/>
        <v>905</v>
      </c>
      <c r="AC177" s="66">
        <f t="shared" si="190"/>
        <v>905</v>
      </c>
      <c r="AD177" s="179" t="s">
        <v>129</v>
      </c>
      <c r="AE177" s="180" t="s">
        <v>130</v>
      </c>
      <c r="AF177" s="181" t="s">
        <v>131</v>
      </c>
      <c r="AG177" s="70">
        <f>IF(C177="",0,VLOOKUP(AD177,'Look Ups'!$B$3:$C$6,2,0)*VLOOKUP(AE177,'Look Ups'!$E$3:$F$5,2,0)*VLOOKUP(AF177,'Look Ups'!$H$3:$I$7,2,0))</f>
        <v>1</v>
      </c>
      <c r="AH177" s="80">
        <v>9.23</v>
      </c>
      <c r="AI177" s="77">
        <v>8.9700000000000006</v>
      </c>
      <c r="AJ177" s="77">
        <v>3.29</v>
      </c>
      <c r="AK177" s="77">
        <v>0.73</v>
      </c>
      <c r="AL177" s="77">
        <v>0.62</v>
      </c>
      <c r="AM177" s="77">
        <v>8.7799999999999994</v>
      </c>
      <c r="AN177" s="77">
        <v>0.09</v>
      </c>
      <c r="AO177" s="77">
        <v>3.48</v>
      </c>
      <c r="AP177" s="77">
        <v>0.02</v>
      </c>
      <c r="AQ177" s="77">
        <v>0.41</v>
      </c>
      <c r="AR177" s="77" t="s">
        <v>132</v>
      </c>
      <c r="AS177" s="87">
        <v>0</v>
      </c>
      <c r="AT177" s="59">
        <f t="shared" si="191"/>
        <v>8.7999999999999989</v>
      </c>
      <c r="AU177" s="59">
        <f t="shared" si="192"/>
        <v>1.3499249999999998</v>
      </c>
      <c r="AV177" s="72">
        <f>IF(C177="",0,(0.5*(_ML1*LPM)+0.5*(_ML1*HB)+0.66*(P*PR)+0.66*(_ML2*RDM)+0.66*(E*ER))*VLOOKUP(BATT,'Look Ups'!$N$3:$O$4,2,0))</f>
        <v>22.790292000000004</v>
      </c>
      <c r="AW177" s="182"/>
      <c r="AX177" s="183"/>
      <c r="AY177" s="80">
        <v>8.34</v>
      </c>
      <c r="AZ177" s="77">
        <v>2.63</v>
      </c>
      <c r="BA177" s="77">
        <v>2.95</v>
      </c>
      <c r="BB177" s="77">
        <v>9.5000000000000001E-2</v>
      </c>
      <c r="BC177" s="77">
        <v>7.38</v>
      </c>
      <c r="BD177" s="77"/>
      <c r="BE177" s="77"/>
      <c r="BF177" s="77">
        <v>-0.09</v>
      </c>
      <c r="BG177" s="77">
        <v>0</v>
      </c>
      <c r="BH177" s="87"/>
      <c r="BI177" s="72">
        <f t="shared" si="193"/>
        <v>10.713692999999999</v>
      </c>
      <c r="BJ177" s="76"/>
      <c r="BK177" s="77"/>
      <c r="BL177" s="78"/>
      <c r="BM177" s="78"/>
      <c r="BN177" s="77"/>
      <c r="BO177" s="78"/>
      <c r="BP177" s="78"/>
      <c r="BQ177" s="79">
        <f t="shared" si="194"/>
        <v>0</v>
      </c>
      <c r="BR177" s="80"/>
      <c r="BS177" s="77"/>
      <c r="BT177" s="77"/>
      <c r="BU177" s="77"/>
      <c r="BV177" s="77"/>
      <c r="BW177" s="77"/>
      <c r="BX177" s="77"/>
      <c r="BY177" s="72">
        <f t="shared" si="195"/>
        <v>0</v>
      </c>
      <c r="BZ177" s="182">
        <v>6.28</v>
      </c>
      <c r="CA177" s="77">
        <v>10.029999999999999</v>
      </c>
      <c r="CB177" s="77">
        <v>8.08</v>
      </c>
      <c r="CC177" s="77">
        <v>5.39</v>
      </c>
      <c r="CD177" s="65">
        <f t="shared" si="196"/>
        <v>85.828025477706987</v>
      </c>
      <c r="CE177" s="77">
        <v>0</v>
      </c>
      <c r="CF177" s="79">
        <f t="shared" si="197"/>
        <v>42.015199999999993</v>
      </c>
      <c r="CG177" s="80"/>
      <c r="CH177" s="77"/>
      <c r="CI177" s="77"/>
      <c r="CJ177" s="77"/>
      <c r="CK177" s="59" t="str">
        <f t="shared" si="214"/>
        <v/>
      </c>
      <c r="CL177" s="77">
        <v>0</v>
      </c>
      <c r="CM177" s="72">
        <f t="shared" si="198"/>
        <v>0</v>
      </c>
      <c r="CN177" s="81">
        <f t="shared" si="199"/>
        <v>1</v>
      </c>
      <c r="CO177" s="59">
        <f t="shared" si="200"/>
        <v>24.140217000000003</v>
      </c>
      <c r="CP177" s="59">
        <f t="shared" si="201"/>
        <v>1</v>
      </c>
      <c r="CQ177" s="59">
        <f t="shared" si="202"/>
        <v>10.713692999999999</v>
      </c>
      <c r="CR177" s="59">
        <f>IF(AV177&gt;0,'Look Ups'!$L$3,0)</f>
        <v>1</v>
      </c>
      <c r="CS177" s="59">
        <f t="shared" si="203"/>
        <v>0</v>
      </c>
      <c r="CT177" s="59">
        <f t="shared" si="215"/>
        <v>0</v>
      </c>
      <c r="CU177" s="59">
        <f t="shared" si="216"/>
        <v>0</v>
      </c>
      <c r="CV177" s="79">
        <f t="shared" si="217"/>
        <v>0</v>
      </c>
      <c r="CW177" s="82" t="str">
        <f t="shared" si="204"/>
        <v>-</v>
      </c>
      <c r="CX177" s="65" t="str">
        <f t="shared" si="205"/>
        <v>valid</v>
      </c>
      <c r="CY177" s="66" t="str">
        <f t="shared" si="206"/>
        <v>MGSp</v>
      </c>
      <c r="CZ177" s="81">
        <f t="shared" si="207"/>
        <v>34.853909999999999</v>
      </c>
      <c r="DA177" s="59">
        <f t="shared" si="208"/>
        <v>9.3904520999999974</v>
      </c>
      <c r="DB177" s="59">
        <f t="shared" si="209"/>
        <v>0</v>
      </c>
      <c r="DC177" s="59">
        <f t="shared" si="210"/>
        <v>9.2339445649999981</v>
      </c>
      <c r="DD177" s="59">
        <f t="shared" si="211"/>
        <v>0</v>
      </c>
      <c r="DE177" s="79">
        <f t="shared" si="212"/>
        <v>36.303974592000003</v>
      </c>
      <c r="DF177" s="83">
        <f t="shared" si="213"/>
        <v>44.244362099999996</v>
      </c>
    </row>
    <row r="178" spans="2:110" ht="16.5" customHeight="1" x14ac:dyDescent="0.25">
      <c r="B178" s="168"/>
      <c r="C178" s="168" t="s">
        <v>615</v>
      </c>
      <c r="D178" s="169" t="s">
        <v>616</v>
      </c>
      <c r="E178" s="170" t="s">
        <v>617</v>
      </c>
      <c r="F178" s="50">
        <f t="shared" si="151"/>
        <v>0.82607543263764205</v>
      </c>
      <c r="G178" s="50" t="str">
        <f t="shared" ca="1" si="185"/>
        <v>No</v>
      </c>
      <c r="H178" s="51" t="str">
        <f t="shared" si="186"/>
        <v>Main - Genoa - Spinnaker</v>
      </c>
      <c r="I178" s="171">
        <v>37829</v>
      </c>
      <c r="J178" s="171"/>
      <c r="K178" s="172" t="s">
        <v>299</v>
      </c>
      <c r="L178" s="172" t="s">
        <v>390</v>
      </c>
      <c r="M178" s="171"/>
      <c r="N178" s="173" t="s">
        <v>575</v>
      </c>
      <c r="O178" s="173"/>
      <c r="P178" s="174">
        <v>6</v>
      </c>
      <c r="Q178" s="175">
        <v>7.91</v>
      </c>
      <c r="R178" s="78"/>
      <c r="S178" s="59">
        <f t="shared" si="187"/>
        <v>0.19775000000000001</v>
      </c>
      <c r="T178" s="176">
        <v>0.30000000000000004</v>
      </c>
      <c r="U178" s="176">
        <v>0</v>
      </c>
      <c r="V178" s="61">
        <f t="shared" si="188"/>
        <v>7.61</v>
      </c>
      <c r="W178" s="62">
        <f>IF(RL&gt;0,IF(RL&gt;'Look Ups'!R$7,'Look Ups'!R$8,('Look Ups'!R$3*RL^3+'Look Ups'!R$4*RL^2+'Look Ups'!R$5*RL+'Look Ups'!R$6)),0)</f>
        <v>0.292361525673</v>
      </c>
      <c r="X178" s="177">
        <v>1220</v>
      </c>
      <c r="Y178" s="178"/>
      <c r="Z178" s="178"/>
      <c r="AA178" s="178"/>
      <c r="AB178" s="65">
        <f t="shared" si="189"/>
        <v>1220</v>
      </c>
      <c r="AC178" s="66">
        <f t="shared" si="190"/>
        <v>1220</v>
      </c>
      <c r="AD178" s="179" t="s">
        <v>129</v>
      </c>
      <c r="AE178" s="180" t="s">
        <v>130</v>
      </c>
      <c r="AF178" s="181" t="s">
        <v>131</v>
      </c>
      <c r="AG178" s="70">
        <f>IF(C178="",0,VLOOKUP(AD178,'Look Ups'!$B$3:$C$6,2,0)*VLOOKUP(AE178,'Look Ups'!$E$3:$F$5,2,0)*VLOOKUP(AF178,'Look Ups'!$H$3:$I$7,2,0))</f>
        <v>1</v>
      </c>
      <c r="AH178" s="80">
        <v>9.82</v>
      </c>
      <c r="AI178" s="77">
        <v>9.6199999999999992</v>
      </c>
      <c r="AJ178" s="77">
        <v>2.71</v>
      </c>
      <c r="AK178" s="77">
        <v>0.71</v>
      </c>
      <c r="AL178" s="77">
        <v>0.64</v>
      </c>
      <c r="AM178" s="77">
        <v>9.6999999999999993</v>
      </c>
      <c r="AN178" s="77">
        <v>0.1</v>
      </c>
      <c r="AO178" s="77">
        <v>2.77</v>
      </c>
      <c r="AP178" s="77">
        <v>0</v>
      </c>
      <c r="AQ178" s="77">
        <v>0.42</v>
      </c>
      <c r="AR178" s="77" t="s">
        <v>132</v>
      </c>
      <c r="AS178" s="87">
        <v>0</v>
      </c>
      <c r="AT178" s="59">
        <f t="shared" si="191"/>
        <v>9.6999999999999993</v>
      </c>
      <c r="AU178" s="59">
        <f t="shared" si="192"/>
        <v>1.5277499999999999</v>
      </c>
      <c r="AV178" s="72">
        <f>IF(C178="",0,(0.5*(_ML1*LPM)+0.5*(_ML1*HB)+0.66*(P*PR)+0.66*(_ML2*RDM)+0.66*(E*ER))*VLOOKUP(BATT,'Look Ups'!$N$3:$O$4,2,0))</f>
        <v>21.495888000000001</v>
      </c>
      <c r="AW178" s="182"/>
      <c r="AX178" s="183"/>
      <c r="AY178" s="80">
        <v>9.06</v>
      </c>
      <c r="AZ178" s="77">
        <v>2.97</v>
      </c>
      <c r="BA178" s="77">
        <v>3.32</v>
      </c>
      <c r="BB178" s="77">
        <v>0.03</v>
      </c>
      <c r="BC178" s="77">
        <v>8.0299999999999994</v>
      </c>
      <c r="BD178" s="77"/>
      <c r="BE178" s="77"/>
      <c r="BF178" s="77">
        <v>-0.28999999999999998</v>
      </c>
      <c r="BG178" s="77">
        <v>0.04</v>
      </c>
      <c r="BH178" s="87"/>
      <c r="BI178" s="72">
        <f t="shared" si="193"/>
        <v>12.222078000000002</v>
      </c>
      <c r="BJ178" s="76"/>
      <c r="BK178" s="77"/>
      <c r="BL178" s="78"/>
      <c r="BM178" s="78"/>
      <c r="BN178" s="77"/>
      <c r="BO178" s="78"/>
      <c r="BP178" s="78"/>
      <c r="BQ178" s="79">
        <f t="shared" si="194"/>
        <v>0</v>
      </c>
      <c r="BR178" s="80"/>
      <c r="BS178" s="77"/>
      <c r="BT178" s="77"/>
      <c r="BU178" s="77"/>
      <c r="BV178" s="77"/>
      <c r="BW178" s="77"/>
      <c r="BX178" s="77"/>
      <c r="BY178" s="72">
        <f t="shared" si="195"/>
        <v>0</v>
      </c>
      <c r="BZ178" s="182">
        <v>7.8</v>
      </c>
      <c r="CA178" s="77">
        <v>12.36</v>
      </c>
      <c r="CB178" s="77">
        <v>12.23</v>
      </c>
      <c r="CC178" s="77">
        <v>7.29</v>
      </c>
      <c r="CD178" s="65">
        <f t="shared" si="196"/>
        <v>93.461538461538467</v>
      </c>
      <c r="CE178" s="77">
        <v>0</v>
      </c>
      <c r="CF178" s="79">
        <f t="shared" si="197"/>
        <v>75.737200000000001</v>
      </c>
      <c r="CG178" s="80"/>
      <c r="CH178" s="77"/>
      <c r="CI178" s="77"/>
      <c r="CJ178" s="77"/>
      <c r="CK178" s="59" t="str">
        <f t="shared" si="214"/>
        <v/>
      </c>
      <c r="CL178" s="77">
        <v>0</v>
      </c>
      <c r="CM178" s="72">
        <f t="shared" si="198"/>
        <v>0</v>
      </c>
      <c r="CN178" s="81">
        <f t="shared" si="199"/>
        <v>1</v>
      </c>
      <c r="CO178" s="59">
        <f t="shared" si="200"/>
        <v>23.023638000000002</v>
      </c>
      <c r="CP178" s="59">
        <f t="shared" si="201"/>
        <v>1</v>
      </c>
      <c r="CQ178" s="59">
        <f t="shared" si="202"/>
        <v>12.222078000000002</v>
      </c>
      <c r="CR178" s="59">
        <f>IF(AV178&gt;0,'Look Ups'!$L$3,0)</f>
        <v>1</v>
      </c>
      <c r="CS178" s="59">
        <f t="shared" si="203"/>
        <v>0</v>
      </c>
      <c r="CT178" s="59">
        <f t="shared" si="215"/>
        <v>0</v>
      </c>
      <c r="CU178" s="59">
        <f t="shared" si="216"/>
        <v>0</v>
      </c>
      <c r="CV178" s="79">
        <f t="shared" si="217"/>
        <v>0</v>
      </c>
      <c r="CW178" s="82" t="str">
        <f t="shared" si="204"/>
        <v>-</v>
      </c>
      <c r="CX178" s="65" t="str">
        <f t="shared" si="205"/>
        <v>valid</v>
      </c>
      <c r="CY178" s="66" t="str">
        <f t="shared" si="206"/>
        <v>MGSp</v>
      </c>
      <c r="CZ178" s="81">
        <f t="shared" si="207"/>
        <v>35.245716000000002</v>
      </c>
      <c r="DA178" s="59">
        <f t="shared" si="208"/>
        <v>19.054536599999999</v>
      </c>
      <c r="DB178" s="59">
        <f t="shared" si="209"/>
        <v>0</v>
      </c>
      <c r="DC178" s="59">
        <f t="shared" si="210"/>
        <v>18.73696099</v>
      </c>
      <c r="DD178" s="59">
        <f t="shared" si="211"/>
        <v>0</v>
      </c>
      <c r="DE178" s="79">
        <f t="shared" si="212"/>
        <v>36.412284480000004</v>
      </c>
      <c r="DF178" s="83">
        <f t="shared" si="213"/>
        <v>54.3002526</v>
      </c>
    </row>
    <row r="179" spans="2:110" ht="16.5" customHeight="1" x14ac:dyDescent="0.25">
      <c r="B179" s="168"/>
      <c r="C179" s="168" t="s">
        <v>618</v>
      </c>
      <c r="D179" s="175" t="s">
        <v>619</v>
      </c>
      <c r="E179" s="170" t="s">
        <v>620</v>
      </c>
      <c r="F179" s="50">
        <f t="shared" si="151"/>
        <v>0.73828209944007406</v>
      </c>
      <c r="G179" s="50" t="str">
        <f t="shared" ca="1" si="185"/>
        <v>No</v>
      </c>
      <c r="H179" s="51" t="str">
        <f t="shared" si="186"/>
        <v>Main - Genoa - Spinnaker</v>
      </c>
      <c r="I179" s="171">
        <v>35893</v>
      </c>
      <c r="J179" s="171"/>
      <c r="K179" s="172" t="s">
        <v>518</v>
      </c>
      <c r="L179" s="172" t="s">
        <v>390</v>
      </c>
      <c r="M179" s="171"/>
      <c r="N179" s="173" t="s">
        <v>149</v>
      </c>
      <c r="O179" s="173"/>
      <c r="P179" s="174">
        <v>5.4</v>
      </c>
      <c r="Q179" s="175">
        <v>7.85</v>
      </c>
      <c r="R179" s="78"/>
      <c r="S179" s="59">
        <f t="shared" si="187"/>
        <v>0.19625000000000001</v>
      </c>
      <c r="T179" s="176">
        <v>0.1</v>
      </c>
      <c r="U179" s="176">
        <v>0</v>
      </c>
      <c r="V179" s="61">
        <f t="shared" si="188"/>
        <v>7.75</v>
      </c>
      <c r="W179" s="62">
        <f>IF(RL&gt;0,IF(RL&gt;'Look Ups'!R$7,'Look Ups'!R$8,('Look Ups'!R$3*RL^3+'Look Ups'!R$4*RL^2+'Look Ups'!R$5*RL+'Look Ups'!R$6)),0)</f>
        <v>0.29289848437500005</v>
      </c>
      <c r="X179" s="177">
        <v>2231</v>
      </c>
      <c r="Y179" s="178">
        <v>0</v>
      </c>
      <c r="Z179" s="178"/>
      <c r="AA179" s="178"/>
      <c r="AB179" s="65">
        <f t="shared" si="189"/>
        <v>2231</v>
      </c>
      <c r="AC179" s="66">
        <f t="shared" si="190"/>
        <v>2231</v>
      </c>
      <c r="AD179" s="179" t="s">
        <v>129</v>
      </c>
      <c r="AE179" s="180" t="s">
        <v>130</v>
      </c>
      <c r="AF179" s="181" t="s">
        <v>131</v>
      </c>
      <c r="AG179" s="70">
        <f>IF(C179="",0,VLOOKUP(AD179,'Look Ups'!$B$3:$C$6,2,0)*VLOOKUP(AE179,'Look Ups'!$E$3:$F$5,2,0)*VLOOKUP(AF179,'Look Ups'!$H$3:$I$7,2,0))</f>
        <v>1</v>
      </c>
      <c r="AH179" s="80">
        <v>10.88</v>
      </c>
      <c r="AI179" s="77">
        <v>10.84</v>
      </c>
      <c r="AJ179" s="77">
        <v>3.35</v>
      </c>
      <c r="AK179" s="77">
        <v>0.15</v>
      </c>
      <c r="AL179" s="77">
        <v>1.34</v>
      </c>
      <c r="AM179" s="77">
        <v>10.6</v>
      </c>
      <c r="AN179" s="77">
        <v>0.09</v>
      </c>
      <c r="AO179" s="77">
        <v>3.45</v>
      </c>
      <c r="AP179" s="77">
        <v>0.03</v>
      </c>
      <c r="AQ179" s="77">
        <v>0.36</v>
      </c>
      <c r="AR179" s="77" t="s">
        <v>132</v>
      </c>
      <c r="AS179" s="87">
        <v>0</v>
      </c>
      <c r="AT179" s="59">
        <f t="shared" si="191"/>
        <v>10.629999999999999</v>
      </c>
      <c r="AU179" s="59">
        <f t="shared" si="192"/>
        <v>1.4309999999999998</v>
      </c>
      <c r="AV179" s="72">
        <f>IF(C179="",0,(0.5*(_ML1*LPM)+0.5*(_ML1*HB)+0.66*(P*PR)+0.66*(_ML2*RDM)+0.66*(E*ER))*VLOOKUP(BATT,'Look Ups'!$N$3:$O$4,2,0))</f>
        <v>29.324845999999997</v>
      </c>
      <c r="AW179" s="182"/>
      <c r="AX179" s="183"/>
      <c r="AY179" s="80">
        <v>10.35</v>
      </c>
      <c r="AZ179" s="77">
        <v>3.65</v>
      </c>
      <c r="BA179" s="77">
        <v>4.17</v>
      </c>
      <c r="BB179" s="77">
        <v>0.09</v>
      </c>
      <c r="BC179" s="77">
        <v>9.07</v>
      </c>
      <c r="BD179" s="77"/>
      <c r="BE179" s="77"/>
      <c r="BF179" s="77">
        <v>-0.155</v>
      </c>
      <c r="BG179" s="77">
        <v>-0.06</v>
      </c>
      <c r="BH179" s="87"/>
      <c r="BI179" s="72">
        <f t="shared" si="193"/>
        <v>17.798727</v>
      </c>
      <c r="BJ179" s="76"/>
      <c r="BK179" s="77"/>
      <c r="BL179" s="78"/>
      <c r="BM179" s="78"/>
      <c r="BN179" s="77"/>
      <c r="BO179" s="78"/>
      <c r="BP179" s="78"/>
      <c r="BQ179" s="79">
        <f t="shared" si="194"/>
        <v>0</v>
      </c>
      <c r="BR179" s="80"/>
      <c r="BS179" s="77"/>
      <c r="BT179" s="77"/>
      <c r="BU179" s="77"/>
      <c r="BV179" s="77"/>
      <c r="BW179" s="77"/>
      <c r="BX179" s="77"/>
      <c r="BY179" s="72">
        <f t="shared" si="195"/>
        <v>0</v>
      </c>
      <c r="BZ179" s="182">
        <v>7.72</v>
      </c>
      <c r="CA179" s="77">
        <v>12.9</v>
      </c>
      <c r="CB179" s="77">
        <v>11.8</v>
      </c>
      <c r="CC179" s="77">
        <v>7.25</v>
      </c>
      <c r="CD179" s="65">
        <f t="shared" si="196"/>
        <v>93.911917098445599</v>
      </c>
      <c r="CE179" s="77">
        <v>0</v>
      </c>
      <c r="CF179" s="79">
        <f t="shared" si="197"/>
        <v>75.582000000000008</v>
      </c>
      <c r="CG179" s="80"/>
      <c r="CH179" s="77"/>
      <c r="CI179" s="77"/>
      <c r="CJ179" s="77"/>
      <c r="CK179" s="59" t="str">
        <f t="shared" si="214"/>
        <v/>
      </c>
      <c r="CL179" s="77">
        <v>0</v>
      </c>
      <c r="CM179" s="72">
        <f t="shared" si="198"/>
        <v>0</v>
      </c>
      <c r="CN179" s="81">
        <f t="shared" si="199"/>
        <v>1</v>
      </c>
      <c r="CO179" s="59">
        <f t="shared" si="200"/>
        <v>30.755845999999998</v>
      </c>
      <c r="CP179" s="59">
        <f t="shared" si="201"/>
        <v>1</v>
      </c>
      <c r="CQ179" s="59">
        <f t="shared" si="202"/>
        <v>17.798727</v>
      </c>
      <c r="CR179" s="59">
        <f>IF(AV179&gt;0,'Look Ups'!$L$3,0)</f>
        <v>1</v>
      </c>
      <c r="CS179" s="59">
        <f t="shared" si="203"/>
        <v>0</v>
      </c>
      <c r="CT179" s="59">
        <f t="shared" si="215"/>
        <v>0</v>
      </c>
      <c r="CU179" s="59">
        <f t="shared" si="216"/>
        <v>0</v>
      </c>
      <c r="CV179" s="79">
        <f t="shared" si="217"/>
        <v>0</v>
      </c>
      <c r="CW179" s="82" t="str">
        <f t="shared" si="204"/>
        <v>-</v>
      </c>
      <c r="CX179" s="65" t="str">
        <f t="shared" si="205"/>
        <v>valid</v>
      </c>
      <c r="CY179" s="66" t="str">
        <f t="shared" si="206"/>
        <v>MGSp</v>
      </c>
      <c r="CZ179" s="81">
        <f t="shared" si="207"/>
        <v>48.554572999999998</v>
      </c>
      <c r="DA179" s="59">
        <f t="shared" si="208"/>
        <v>17.334981900000002</v>
      </c>
      <c r="DB179" s="59">
        <f t="shared" si="209"/>
        <v>0</v>
      </c>
      <c r="DC179" s="59">
        <f t="shared" si="210"/>
        <v>17.046065535</v>
      </c>
      <c r="DD179" s="59">
        <f t="shared" si="211"/>
        <v>0</v>
      </c>
      <c r="DE179" s="79">
        <f t="shared" si="212"/>
        <v>49.953941852</v>
      </c>
      <c r="DF179" s="83">
        <f t="shared" si="213"/>
        <v>65.889554900000007</v>
      </c>
    </row>
    <row r="180" spans="2:110" ht="18" customHeight="1" x14ac:dyDescent="0.25">
      <c r="B180" s="168"/>
      <c r="C180" s="47" t="s">
        <v>240</v>
      </c>
      <c r="D180" s="48" t="s">
        <v>241</v>
      </c>
      <c r="E180" s="49" t="s">
        <v>242</v>
      </c>
      <c r="F180" s="50">
        <f t="shared" si="151"/>
        <v>1.0173574977097288</v>
      </c>
      <c r="G180" s="50" t="str">
        <f t="shared" ca="1" si="185"/>
        <v>No</v>
      </c>
      <c r="H180" s="51" t="str">
        <f t="shared" si="186"/>
        <v>Main - Genoa - Screacher - Spinnaker</v>
      </c>
      <c r="I180" s="52">
        <v>38765</v>
      </c>
      <c r="J180" s="52"/>
      <c r="K180" s="53" t="s">
        <v>187</v>
      </c>
      <c r="L180" s="53" t="s">
        <v>187</v>
      </c>
      <c r="M180" s="54"/>
      <c r="N180" s="55" t="s">
        <v>149</v>
      </c>
      <c r="O180" s="55"/>
      <c r="P180" s="86">
        <v>9.1</v>
      </c>
      <c r="Q180" s="57">
        <v>16.96</v>
      </c>
      <c r="R180" s="58"/>
      <c r="S180" s="59">
        <f t="shared" si="187"/>
        <v>0.42400000000000004</v>
      </c>
      <c r="T180" s="60">
        <v>0.13</v>
      </c>
      <c r="U180" s="60">
        <v>0</v>
      </c>
      <c r="V180" s="61">
        <f t="shared" si="188"/>
        <v>16.830000000000002</v>
      </c>
      <c r="W180" s="62">
        <f>IF(RL&gt;0,IF(RL&gt;'Look Ups'!R$7,'Look Ups'!R$8,('Look Ups'!R$3*RL^3+'Look Ups'!R$4*RL^2+'Look Ups'!R$5*RL+'Look Ups'!R$6)),0)</f>
        <v>0.3</v>
      </c>
      <c r="X180" s="63">
        <v>9373</v>
      </c>
      <c r="Y180" s="64"/>
      <c r="Z180" s="64"/>
      <c r="AA180" s="64"/>
      <c r="AB180" s="65">
        <f t="shared" si="189"/>
        <v>9373</v>
      </c>
      <c r="AC180" s="66">
        <f t="shared" si="190"/>
        <v>9373</v>
      </c>
      <c r="AD180" s="67" t="s">
        <v>129</v>
      </c>
      <c r="AE180" s="68" t="s">
        <v>130</v>
      </c>
      <c r="AF180" s="69" t="s">
        <v>161</v>
      </c>
      <c r="AG180" s="70">
        <f>IF(C180="",0,VLOOKUP(AD180,'Look Ups'!$B$3:$C$6,2,0)*VLOOKUP(AE180,'Look Ups'!$E$3:$F$5,2,0)*VLOOKUP(AF180,'Look Ups'!$H$3:$I$7,2,0))</f>
        <v>0.99</v>
      </c>
      <c r="AH180" s="71">
        <v>22.54</v>
      </c>
      <c r="AI180" s="60">
        <v>22.05</v>
      </c>
      <c r="AJ180" s="60">
        <v>6.93</v>
      </c>
      <c r="AK180" s="60">
        <v>2.38</v>
      </c>
      <c r="AL180" s="60">
        <v>1.23</v>
      </c>
      <c r="AM180" s="60">
        <v>21.92</v>
      </c>
      <c r="AN180" s="60">
        <v>0.36</v>
      </c>
      <c r="AO180" s="60">
        <v>7.18</v>
      </c>
      <c r="AP180" s="60">
        <v>0.1</v>
      </c>
      <c r="AQ180" s="60">
        <v>1.35</v>
      </c>
      <c r="AR180" s="60" t="s">
        <v>132</v>
      </c>
      <c r="AS180" s="75">
        <v>0</v>
      </c>
      <c r="AT180" s="59">
        <f t="shared" si="191"/>
        <v>22.020000000000003</v>
      </c>
      <c r="AU180" s="59">
        <f t="shared" si="192"/>
        <v>11.097000000000001</v>
      </c>
      <c r="AV180" s="72">
        <f>IF(C180="",0,(0.5*(_ML1*LPM)+0.5*(_ML1*HB)+0.66*(P*PR)+0.66*(_ML2*RDM)+0.66*(E*ER))*VLOOKUP(BATT,'Look Ups'!$N$3:$O$4,2,0))</f>
        <v>128.50596199999998</v>
      </c>
      <c r="AW180" s="73"/>
      <c r="AX180" s="74"/>
      <c r="AY180" s="71">
        <v>18.02</v>
      </c>
      <c r="AZ180" s="60">
        <v>6.59</v>
      </c>
      <c r="BA180" s="60">
        <v>7.03</v>
      </c>
      <c r="BB180" s="60">
        <v>0.26</v>
      </c>
      <c r="BC180" s="60">
        <v>16.760000000000002</v>
      </c>
      <c r="BD180" s="60">
        <v>16.72</v>
      </c>
      <c r="BE180" s="60"/>
      <c r="BF180" s="60">
        <v>0.36</v>
      </c>
      <c r="BG180" s="60">
        <v>0.08</v>
      </c>
      <c r="BH180" s="75"/>
      <c r="BI180" s="72">
        <f t="shared" si="193"/>
        <v>65.515879999999996</v>
      </c>
      <c r="BJ180" s="76"/>
      <c r="BK180" s="77"/>
      <c r="BL180" s="78"/>
      <c r="BM180" s="78"/>
      <c r="BN180" s="77"/>
      <c r="BO180" s="78"/>
      <c r="BP180" s="78"/>
      <c r="BQ180" s="79">
        <f t="shared" si="194"/>
        <v>0</v>
      </c>
      <c r="BR180" s="80"/>
      <c r="BS180" s="77"/>
      <c r="BT180" s="77"/>
      <c r="BU180" s="77"/>
      <c r="BV180" s="77"/>
      <c r="BW180" s="77"/>
      <c r="BX180" s="77"/>
      <c r="BY180" s="72">
        <f t="shared" si="195"/>
        <v>0</v>
      </c>
      <c r="BZ180" s="73">
        <v>13.7</v>
      </c>
      <c r="CA180" s="60">
        <v>24.25</v>
      </c>
      <c r="CB180" s="60">
        <v>20.05</v>
      </c>
      <c r="CC180" s="60">
        <v>12.18</v>
      </c>
      <c r="CD180" s="65">
        <f t="shared" si="196"/>
        <v>88.9051094890511</v>
      </c>
      <c r="CE180" s="60">
        <v>0</v>
      </c>
      <c r="CF180" s="79">
        <f t="shared" si="197"/>
        <v>230.43383333333333</v>
      </c>
      <c r="CG180" s="71">
        <v>14.1</v>
      </c>
      <c r="CH180" s="60">
        <v>24.7</v>
      </c>
      <c r="CI180" s="60">
        <v>20.6</v>
      </c>
      <c r="CJ180" s="60">
        <v>9.0399999999999991</v>
      </c>
      <c r="CK180" s="59">
        <f t="shared" si="214"/>
        <v>64.113475177304963</v>
      </c>
      <c r="CL180" s="60">
        <v>0</v>
      </c>
      <c r="CM180" s="72">
        <f t="shared" si="198"/>
        <v>189.73149999999995</v>
      </c>
      <c r="CN180" s="81">
        <f t="shared" si="199"/>
        <v>1</v>
      </c>
      <c r="CO180" s="59">
        <f t="shared" si="200"/>
        <v>139.60296199999999</v>
      </c>
      <c r="CP180" s="59">
        <f t="shared" si="201"/>
        <v>1</v>
      </c>
      <c r="CQ180" s="59">
        <f t="shared" si="202"/>
        <v>65.515879999999996</v>
      </c>
      <c r="CR180" s="59">
        <f>IF(AV180&gt;0,'Look Ups'!$L$3,0)</f>
        <v>1</v>
      </c>
      <c r="CS180" s="59">
        <f t="shared" si="203"/>
        <v>0</v>
      </c>
      <c r="CT180" s="59">
        <f t="shared" si="215"/>
        <v>0</v>
      </c>
      <c r="CU180" s="59">
        <f t="shared" si="216"/>
        <v>0</v>
      </c>
      <c r="CV180" s="79">
        <f t="shared" si="217"/>
        <v>0</v>
      </c>
      <c r="CW180" s="82" t="str">
        <f t="shared" si="204"/>
        <v>valid</v>
      </c>
      <c r="CX180" s="65" t="str">
        <f t="shared" si="205"/>
        <v>valid</v>
      </c>
      <c r="CY180" s="66" t="str">
        <f t="shared" si="206"/>
        <v>MGScrSp</v>
      </c>
      <c r="CZ180" s="81">
        <f t="shared" si="207"/>
        <v>205.11884199999997</v>
      </c>
      <c r="DA180" s="59">
        <f t="shared" si="208"/>
        <v>49.475386</v>
      </c>
      <c r="DB180" s="59">
        <f t="shared" si="209"/>
        <v>43.475466999999981</v>
      </c>
      <c r="DC180" s="59">
        <f t="shared" si="210"/>
        <v>48.650796233333331</v>
      </c>
      <c r="DD180" s="59">
        <f t="shared" si="211"/>
        <v>6.8318590999999982</v>
      </c>
      <c r="DE180" s="79">
        <f t="shared" si="212"/>
        <v>213.12024685599997</v>
      </c>
      <c r="DF180" s="83">
        <f t="shared" si="213"/>
        <v>260.60149733333327</v>
      </c>
    </row>
    <row r="181" spans="2:110" ht="16.5" customHeight="1" x14ac:dyDescent="0.25">
      <c r="B181" s="47"/>
      <c r="C181" s="295" t="s">
        <v>852</v>
      </c>
      <c r="D181" s="296" t="s">
        <v>170</v>
      </c>
      <c r="E181" s="297" t="s">
        <v>853</v>
      </c>
      <c r="F181" s="50">
        <f t="shared" si="151"/>
        <v>0.87459061661330306</v>
      </c>
      <c r="G181" s="50" t="str">
        <f t="shared" ca="1" si="185"/>
        <v>No</v>
      </c>
      <c r="H181" s="241" t="str">
        <f t="shared" si="186"/>
        <v>Main - Genoa - Screacher - Spinnaker</v>
      </c>
      <c r="I181" s="298">
        <v>39751</v>
      </c>
      <c r="J181" s="298">
        <v>42677</v>
      </c>
      <c r="K181" s="299" t="s">
        <v>201</v>
      </c>
      <c r="L181" s="299" t="s">
        <v>841</v>
      </c>
      <c r="M181" s="298"/>
      <c r="N181" s="300" t="s">
        <v>127</v>
      </c>
      <c r="O181" s="300" t="s">
        <v>128</v>
      </c>
      <c r="P181" s="301">
        <v>5.5</v>
      </c>
      <c r="Q181" s="302">
        <v>7.32</v>
      </c>
      <c r="R181" s="233"/>
      <c r="S181" s="242">
        <f t="shared" si="187"/>
        <v>0.18300000000000002</v>
      </c>
      <c r="T181" s="303">
        <v>0.14000000000000001</v>
      </c>
      <c r="U181" s="303">
        <v>0</v>
      </c>
      <c r="V181" s="243">
        <f t="shared" si="188"/>
        <v>7.1800000000000006</v>
      </c>
      <c r="W181" s="244">
        <f>IF(RL&gt;0,IF(RL&gt;'Look Ups'!R$7,'Look Ups'!R$8,('Look Ups'!R$3*RL^3+'Look Ups'!R$4*RL^2+'Look Ups'!R$5*RL+'Look Ups'!R$6)),0)</f>
        <v>0.29055146565600004</v>
      </c>
      <c r="X181" s="237">
        <v>995</v>
      </c>
      <c r="Y181" s="225"/>
      <c r="Z181" s="225"/>
      <c r="AA181" s="225"/>
      <c r="AB181" s="245">
        <f t="shared" si="189"/>
        <v>995</v>
      </c>
      <c r="AC181" s="246">
        <f t="shared" si="190"/>
        <v>995</v>
      </c>
      <c r="AD181" s="213" t="s">
        <v>129</v>
      </c>
      <c r="AE181" s="305" t="s">
        <v>130</v>
      </c>
      <c r="AF181" s="306" t="s">
        <v>131</v>
      </c>
      <c r="AG181" s="247">
        <f>IF(C181="",0,VLOOKUP(AD181,'Look Ups'!$B$3:$C$6,2,0)*VLOOKUP(AE181,'Look Ups'!$E$3:$F$5,2,0)*VLOOKUP(AF181,'Look Ups'!$H$3:$I$7,2,0))</f>
        <v>1</v>
      </c>
      <c r="AH181" s="235">
        <v>10.02</v>
      </c>
      <c r="AI181" s="221">
        <v>9.85</v>
      </c>
      <c r="AJ181" s="221">
        <v>3.1</v>
      </c>
      <c r="AK181" s="221">
        <v>0.74</v>
      </c>
      <c r="AL181" s="221">
        <v>0.89</v>
      </c>
      <c r="AM181" s="221">
        <v>9.57</v>
      </c>
      <c r="AN181" s="221">
        <v>0.05</v>
      </c>
      <c r="AO181" s="221">
        <v>3.24</v>
      </c>
      <c r="AP181" s="221">
        <v>0</v>
      </c>
      <c r="AQ181" s="221">
        <v>0.49</v>
      </c>
      <c r="AR181" s="221" t="s">
        <v>132</v>
      </c>
      <c r="AS181" s="300">
        <v>0</v>
      </c>
      <c r="AT181" s="242">
        <f t="shared" si="191"/>
        <v>9.57</v>
      </c>
      <c r="AU181" s="242">
        <f t="shared" si="192"/>
        <v>1.7584875</v>
      </c>
      <c r="AV181" s="248">
        <f>IF(C181="",0,(0.5*(_ML1*LPM)+0.5*(_ML1*HB)+0.66*(P*PR)+0.66*(_ML2*RDM)+0.66*(E*ER))*VLOOKUP(BATT,'Look Ups'!$N$3:$O$4,2,0))</f>
        <v>25.3401</v>
      </c>
      <c r="AW181" s="236"/>
      <c r="AX181" s="234"/>
      <c r="AY181" s="235">
        <v>8.82</v>
      </c>
      <c r="AZ181" s="221">
        <v>2.5</v>
      </c>
      <c r="BA181" s="221">
        <v>2.81</v>
      </c>
      <c r="BB181" s="221">
        <v>0.12</v>
      </c>
      <c r="BC181" s="221">
        <v>8.77</v>
      </c>
      <c r="BD181" s="221"/>
      <c r="BE181" s="221"/>
      <c r="BF181" s="221">
        <v>0.31</v>
      </c>
      <c r="BG181" s="221">
        <v>0</v>
      </c>
      <c r="BH181" s="300"/>
      <c r="BI181" s="248">
        <f t="shared" si="193"/>
        <v>13.041894000000001</v>
      </c>
      <c r="BJ181" s="249"/>
      <c r="BK181" s="242"/>
      <c r="BL181" s="250"/>
      <c r="BM181" s="250"/>
      <c r="BN181" s="242"/>
      <c r="BO181" s="250"/>
      <c r="BP181" s="250"/>
      <c r="BQ181" s="251">
        <f t="shared" si="194"/>
        <v>0</v>
      </c>
      <c r="BR181" s="252"/>
      <c r="BS181" s="242"/>
      <c r="BT181" s="242"/>
      <c r="BU181" s="242"/>
      <c r="BV181" s="242"/>
      <c r="BW181" s="242"/>
      <c r="BX181" s="242"/>
      <c r="BY181" s="248">
        <f t="shared" si="195"/>
        <v>0</v>
      </c>
      <c r="BZ181" s="236">
        <v>7.45</v>
      </c>
      <c r="CA181" s="221">
        <v>11.88</v>
      </c>
      <c r="CB181" s="221">
        <v>10.74</v>
      </c>
      <c r="CC181" s="221">
        <v>6.52</v>
      </c>
      <c r="CD181" s="245">
        <f t="shared" si="196"/>
        <v>87.516778523489918</v>
      </c>
      <c r="CE181" s="221">
        <v>0</v>
      </c>
      <c r="CF181" s="251">
        <f t="shared" si="197"/>
        <v>63.204049999999995</v>
      </c>
      <c r="CG181" s="235">
        <v>5.81</v>
      </c>
      <c r="CH181" s="221">
        <v>10.23</v>
      </c>
      <c r="CI181" s="221">
        <v>9.25</v>
      </c>
      <c r="CJ181" s="221">
        <v>3.16</v>
      </c>
      <c r="CK181" s="242">
        <f t="shared" si="214"/>
        <v>54.388984509466439</v>
      </c>
      <c r="CL181" s="221">
        <v>0</v>
      </c>
      <c r="CM181" s="248">
        <f t="shared" si="198"/>
        <v>29.950500000000002</v>
      </c>
      <c r="CN181" s="253">
        <f t="shared" si="199"/>
        <v>1</v>
      </c>
      <c r="CO181" s="242">
        <f t="shared" si="200"/>
        <v>27.098587500000001</v>
      </c>
      <c r="CP181" s="242">
        <f t="shared" si="201"/>
        <v>1</v>
      </c>
      <c r="CQ181" s="242">
        <f t="shared" si="202"/>
        <v>13.041894000000001</v>
      </c>
      <c r="CR181" s="242">
        <f>IF(AV181&gt;0,'Look Ups'!$L$3,0)</f>
        <v>1</v>
      </c>
      <c r="CS181" s="242">
        <f t="shared" si="203"/>
        <v>0</v>
      </c>
      <c r="CT181" s="242">
        <f t="shared" si="215"/>
        <v>0</v>
      </c>
      <c r="CU181" s="242">
        <f t="shared" si="216"/>
        <v>0</v>
      </c>
      <c r="CV181" s="251">
        <f t="shared" si="217"/>
        <v>0</v>
      </c>
      <c r="CW181" s="254" t="str">
        <f t="shared" si="204"/>
        <v>valid</v>
      </c>
      <c r="CX181" s="245" t="str">
        <f t="shared" si="205"/>
        <v>valid</v>
      </c>
      <c r="CY181" s="246" t="str">
        <f t="shared" si="206"/>
        <v>MGScrSp</v>
      </c>
      <c r="CZ181" s="253">
        <f t="shared" si="207"/>
        <v>40.1404815</v>
      </c>
      <c r="DA181" s="242">
        <f t="shared" si="208"/>
        <v>15.048646799999998</v>
      </c>
      <c r="DB181" s="242">
        <f t="shared" si="209"/>
        <v>5.9180120999999994</v>
      </c>
      <c r="DC181" s="242">
        <f t="shared" si="210"/>
        <v>14.797836019999998</v>
      </c>
      <c r="DD181" s="242">
        <f t="shared" si="211"/>
        <v>0.92997332999999993</v>
      </c>
      <c r="DE181" s="251">
        <f t="shared" si="212"/>
        <v>41.658604398000001</v>
      </c>
      <c r="DF181" s="83">
        <f t="shared" si="213"/>
        <v>55.868290850000001</v>
      </c>
    </row>
    <row r="182" spans="2:110" ht="16.5" customHeight="1" x14ac:dyDescent="0.25">
      <c r="B182" s="294"/>
      <c r="C182" s="168" t="s">
        <v>621</v>
      </c>
      <c r="D182" s="169" t="s">
        <v>622</v>
      </c>
      <c r="E182" s="170" t="s">
        <v>623</v>
      </c>
      <c r="F182" s="50">
        <f t="shared" si="151"/>
        <v>0.68703880649430094</v>
      </c>
      <c r="G182" s="50" t="str">
        <f t="shared" ca="1" si="185"/>
        <v>No</v>
      </c>
      <c r="H182" s="51" t="str">
        <f t="shared" si="186"/>
        <v>Main - Genoa - Spinnaker</v>
      </c>
      <c r="I182" s="171">
        <v>38032</v>
      </c>
      <c r="J182" s="171"/>
      <c r="K182" s="172" t="s">
        <v>305</v>
      </c>
      <c r="L182" s="172" t="s">
        <v>390</v>
      </c>
      <c r="M182" s="171"/>
      <c r="N182" s="173" t="s">
        <v>149</v>
      </c>
      <c r="O182" s="173"/>
      <c r="P182" s="174">
        <v>6</v>
      </c>
      <c r="Q182" s="175">
        <v>11</v>
      </c>
      <c r="R182" s="78"/>
      <c r="S182" s="59">
        <f t="shared" si="187"/>
        <v>0.27500000000000002</v>
      </c>
      <c r="T182" s="176">
        <v>0.1</v>
      </c>
      <c r="U182" s="176">
        <v>0</v>
      </c>
      <c r="V182" s="61">
        <f t="shared" si="188"/>
        <v>10.9</v>
      </c>
      <c r="W182" s="62">
        <f>IF(RL&gt;0,IF(RL&gt;'Look Ups'!R$7,'Look Ups'!R$8,('Look Ups'!R$3*RL^3+'Look Ups'!R$4*RL^2+'Look Ups'!R$5*RL+'Look Ups'!R$6)),0)</f>
        <v>0.29945195700000005</v>
      </c>
      <c r="X182" s="177">
        <v>5357</v>
      </c>
      <c r="Y182" s="178"/>
      <c r="Z182" s="178"/>
      <c r="AA182" s="178"/>
      <c r="AB182" s="65">
        <f t="shared" si="189"/>
        <v>5357</v>
      </c>
      <c r="AC182" s="66">
        <f t="shared" si="190"/>
        <v>5357</v>
      </c>
      <c r="AD182" s="179" t="s">
        <v>129</v>
      </c>
      <c r="AE182" s="180" t="s">
        <v>130</v>
      </c>
      <c r="AF182" s="181" t="s">
        <v>624</v>
      </c>
      <c r="AG182" s="70">
        <f>IF(C182="",0,VLOOKUP(AD182,'Look Ups'!$B$3:$C$6,2,0)*VLOOKUP(AE182,'Look Ups'!$E$3:$F$5,2,0)*VLOOKUP(AF182,'Look Ups'!$H$3:$I$7,2,0))</f>
        <v>0.96250000000000002</v>
      </c>
      <c r="AH182" s="80">
        <v>13.61</v>
      </c>
      <c r="AI182" s="77">
        <v>13.55</v>
      </c>
      <c r="AJ182" s="77">
        <v>4.2</v>
      </c>
      <c r="AK182" s="77">
        <v>0.17</v>
      </c>
      <c r="AL182" s="77">
        <v>1.45</v>
      </c>
      <c r="AM182" s="77">
        <v>13.28</v>
      </c>
      <c r="AN182" s="77">
        <v>0.16</v>
      </c>
      <c r="AO182" s="77">
        <v>4.33</v>
      </c>
      <c r="AP182" s="77">
        <v>0</v>
      </c>
      <c r="AQ182" s="77"/>
      <c r="AR182" s="77" t="s">
        <v>132</v>
      </c>
      <c r="AS182" s="87">
        <v>0</v>
      </c>
      <c r="AT182" s="59">
        <f t="shared" si="191"/>
        <v>13.28</v>
      </c>
      <c r="AU182" s="59">
        <f t="shared" si="192"/>
        <v>0</v>
      </c>
      <c r="AV182" s="72">
        <f>IF(C182="",0,(0.5*(_ML1*LPM)+0.5*(_ML1*HB)+0.66*(P*PR)+0.66*(_ML2*RDM)+0.66*(E*ER))*VLOOKUP(BATT,'Look Ups'!$N$3:$O$4,2,0))</f>
        <v>44.107568000000001</v>
      </c>
      <c r="AW182" s="182"/>
      <c r="AX182" s="183"/>
      <c r="AY182" s="80">
        <v>12.9</v>
      </c>
      <c r="AZ182" s="77">
        <v>4.8899999999999997</v>
      </c>
      <c r="BA182" s="77">
        <v>5.72</v>
      </c>
      <c r="BB182" s="77">
        <v>0.09</v>
      </c>
      <c r="BC182" s="77">
        <v>10.99</v>
      </c>
      <c r="BD182" s="77"/>
      <c r="BE182" s="77"/>
      <c r="BF182" s="77">
        <v>-0.35</v>
      </c>
      <c r="BG182" s="77">
        <v>0</v>
      </c>
      <c r="BH182" s="87"/>
      <c r="BI182" s="72">
        <f t="shared" si="193"/>
        <v>29.341577999999998</v>
      </c>
      <c r="BJ182" s="76"/>
      <c r="BK182" s="77"/>
      <c r="BL182" s="78"/>
      <c r="BM182" s="78"/>
      <c r="BN182" s="77"/>
      <c r="BO182" s="78"/>
      <c r="BP182" s="78"/>
      <c r="BQ182" s="79">
        <f t="shared" si="194"/>
        <v>0</v>
      </c>
      <c r="BR182" s="80"/>
      <c r="BS182" s="77"/>
      <c r="BT182" s="77"/>
      <c r="BU182" s="77"/>
      <c r="BV182" s="77"/>
      <c r="BW182" s="77"/>
      <c r="BX182" s="77"/>
      <c r="BY182" s="72">
        <f t="shared" si="195"/>
        <v>0</v>
      </c>
      <c r="BZ182" s="182">
        <v>9.6999999999999993</v>
      </c>
      <c r="CA182" s="77">
        <v>16</v>
      </c>
      <c r="CB182" s="77">
        <v>12</v>
      </c>
      <c r="CC182" s="77">
        <v>7.5</v>
      </c>
      <c r="CD182" s="65">
        <f t="shared" si="196"/>
        <v>77.319587628865989</v>
      </c>
      <c r="CE182" s="77">
        <v>0</v>
      </c>
      <c r="CF182" s="79">
        <f t="shared" si="197"/>
        <v>92.633333333333326</v>
      </c>
      <c r="CG182" s="80"/>
      <c r="CH182" s="77"/>
      <c r="CI182" s="77"/>
      <c r="CJ182" s="77"/>
      <c r="CK182" s="59" t="str">
        <f t="shared" si="214"/>
        <v/>
      </c>
      <c r="CL182" s="77">
        <v>0</v>
      </c>
      <c r="CM182" s="72">
        <f t="shared" si="198"/>
        <v>0</v>
      </c>
      <c r="CN182" s="81">
        <f t="shared" si="199"/>
        <v>1</v>
      </c>
      <c r="CO182" s="59">
        <f t="shared" si="200"/>
        <v>44.107568000000001</v>
      </c>
      <c r="CP182" s="59">
        <f t="shared" si="201"/>
        <v>1</v>
      </c>
      <c r="CQ182" s="59">
        <f t="shared" si="202"/>
        <v>29.341577999999998</v>
      </c>
      <c r="CR182" s="59">
        <f>IF(AV182&gt;0,'Look Ups'!$L$3,0)</f>
        <v>1</v>
      </c>
      <c r="CS182" s="59">
        <f t="shared" si="203"/>
        <v>0</v>
      </c>
      <c r="CT182" s="59">
        <f t="shared" si="215"/>
        <v>0</v>
      </c>
      <c r="CU182" s="59">
        <f t="shared" si="216"/>
        <v>0</v>
      </c>
      <c r="CV182" s="79">
        <f t="shared" si="217"/>
        <v>0</v>
      </c>
      <c r="CW182" s="82" t="str">
        <f t="shared" si="204"/>
        <v>-</v>
      </c>
      <c r="CX182" s="65" t="str">
        <f t="shared" si="205"/>
        <v>valid</v>
      </c>
      <c r="CY182" s="66" t="str">
        <f t="shared" si="206"/>
        <v>MGSp</v>
      </c>
      <c r="CZ182" s="81">
        <f t="shared" si="207"/>
        <v>73.449145999999999</v>
      </c>
      <c r="DA182" s="59">
        <f t="shared" si="208"/>
        <v>18.987526599999999</v>
      </c>
      <c r="DB182" s="59">
        <f t="shared" si="209"/>
        <v>0</v>
      </c>
      <c r="DC182" s="59">
        <f t="shared" si="210"/>
        <v>18.671067823333331</v>
      </c>
      <c r="DD182" s="59">
        <f t="shared" si="211"/>
        <v>0</v>
      </c>
      <c r="DE182" s="79">
        <f t="shared" si="212"/>
        <v>75.043872919999998</v>
      </c>
      <c r="DF182" s="83">
        <f t="shared" si="213"/>
        <v>92.436672599999994</v>
      </c>
    </row>
    <row r="183" spans="2:110" ht="16.5" customHeight="1" x14ac:dyDescent="0.25">
      <c r="B183" s="168"/>
      <c r="C183" s="168" t="s">
        <v>625</v>
      </c>
      <c r="D183" s="184" t="s">
        <v>626</v>
      </c>
      <c r="E183" s="170" t="s">
        <v>627</v>
      </c>
      <c r="F183" s="50">
        <f t="shared" si="151"/>
        <v>0.63622511647250657</v>
      </c>
      <c r="G183" s="50" t="str">
        <f t="shared" ca="1" si="185"/>
        <v>No</v>
      </c>
      <c r="H183" s="51" t="str">
        <f t="shared" si="186"/>
        <v>Main - Genoa - Screacher - Spinnaker</v>
      </c>
      <c r="I183" s="171">
        <v>39101</v>
      </c>
      <c r="J183" s="171">
        <v>39101</v>
      </c>
      <c r="K183" s="172" t="s">
        <v>236</v>
      </c>
      <c r="L183" s="172" t="s">
        <v>236</v>
      </c>
      <c r="M183" s="171"/>
      <c r="N183" s="87" t="s">
        <v>537</v>
      </c>
      <c r="O183" s="87"/>
      <c r="P183" s="185">
        <v>4.5</v>
      </c>
      <c r="Q183" s="175">
        <v>5.9</v>
      </c>
      <c r="R183" s="78"/>
      <c r="S183" s="59">
        <f t="shared" si="187"/>
        <v>0.14750000000000002</v>
      </c>
      <c r="T183" s="176">
        <v>0.32</v>
      </c>
      <c r="U183" s="176">
        <v>0</v>
      </c>
      <c r="V183" s="61">
        <f t="shared" si="188"/>
        <v>5.58</v>
      </c>
      <c r="W183" s="62">
        <f>IF(RL&gt;0,IF(RL&gt;'Look Ups'!R$7,'Look Ups'!R$8,('Look Ups'!R$3*RL^3+'Look Ups'!R$4*RL^2+'Look Ups'!R$5*RL+'Look Ups'!R$6)),0)</f>
        <v>0.28145249669600003</v>
      </c>
      <c r="X183" s="177">
        <v>880</v>
      </c>
      <c r="Y183" s="178"/>
      <c r="Z183" s="178"/>
      <c r="AA183" s="178"/>
      <c r="AB183" s="65">
        <f t="shared" si="189"/>
        <v>880</v>
      </c>
      <c r="AC183" s="66">
        <f t="shared" si="190"/>
        <v>880</v>
      </c>
      <c r="AD183" s="179" t="s">
        <v>154</v>
      </c>
      <c r="AE183" s="180" t="s">
        <v>130</v>
      </c>
      <c r="AF183" s="181" t="s">
        <v>131</v>
      </c>
      <c r="AG183" s="70">
        <f>IF(C183="",0,VLOOKUP(AD183,'Look Ups'!$B$3:$C$6,2,0)*VLOOKUP(AE183,'Look Ups'!$E$3:$F$5,2,0)*VLOOKUP(AF183,'Look Ups'!$H$3:$I$7,2,0))</f>
        <v>0.99</v>
      </c>
      <c r="AH183" s="80">
        <v>7.5</v>
      </c>
      <c r="AI183" s="77">
        <v>7.26</v>
      </c>
      <c r="AJ183" s="77">
        <v>2.4</v>
      </c>
      <c r="AK183" s="77">
        <v>0.70499999999999996</v>
      </c>
      <c r="AL183" s="77">
        <v>0.49</v>
      </c>
      <c r="AM183" s="77">
        <v>7.2</v>
      </c>
      <c r="AN183" s="77">
        <v>0.09</v>
      </c>
      <c r="AO183" s="77">
        <v>2.5099999999999998</v>
      </c>
      <c r="AP183" s="77">
        <v>0.08</v>
      </c>
      <c r="AQ183" s="77"/>
      <c r="AR183" s="77" t="s">
        <v>132</v>
      </c>
      <c r="AS183" s="87">
        <v>203323</v>
      </c>
      <c r="AT183" s="59">
        <f t="shared" si="191"/>
        <v>7.28</v>
      </c>
      <c r="AU183" s="59">
        <f t="shared" si="192"/>
        <v>0</v>
      </c>
      <c r="AV183" s="72">
        <f>IF(C183="",0,(0.5*(_ML1*LPM)+0.5*(_ML1*HB)+0.66*(P*PR)+0.66*(_ML2*RDM)+0.66*(E*ER))*VLOOKUP(BATT,'Look Ups'!$N$3:$O$4,2,0))</f>
        <v>14.551842000000002</v>
      </c>
      <c r="AW183" s="182"/>
      <c r="AX183" s="183"/>
      <c r="AY183" s="80">
        <v>6.5</v>
      </c>
      <c r="AZ183" s="77">
        <v>2.67</v>
      </c>
      <c r="BA183" s="77">
        <v>2.92</v>
      </c>
      <c r="BB183" s="77">
        <v>0.14000000000000001</v>
      </c>
      <c r="BC183" s="77">
        <v>5.95</v>
      </c>
      <c r="BD183" s="77"/>
      <c r="BE183" s="77"/>
      <c r="BF183" s="77">
        <v>3.5000000000000003E-2</v>
      </c>
      <c r="BG183" s="77">
        <v>-0.17</v>
      </c>
      <c r="BH183" s="87">
        <v>203114</v>
      </c>
      <c r="BI183" s="72">
        <f t="shared" si="193"/>
        <v>8.3554529999999989</v>
      </c>
      <c r="BJ183" s="76"/>
      <c r="BK183" s="77"/>
      <c r="BL183" s="78"/>
      <c r="BM183" s="78"/>
      <c r="BN183" s="77"/>
      <c r="BO183" s="78"/>
      <c r="BP183" s="78"/>
      <c r="BQ183" s="79">
        <f t="shared" si="194"/>
        <v>0</v>
      </c>
      <c r="BR183" s="80"/>
      <c r="BS183" s="77"/>
      <c r="BT183" s="77"/>
      <c r="BU183" s="77"/>
      <c r="BV183" s="77"/>
      <c r="BW183" s="77"/>
      <c r="BX183" s="77"/>
      <c r="BY183" s="72">
        <f t="shared" si="195"/>
        <v>0</v>
      </c>
      <c r="BZ183" s="182">
        <v>4.1100000000000003</v>
      </c>
      <c r="CA183" s="77">
        <v>7.4</v>
      </c>
      <c r="CB183" s="77">
        <v>7.4</v>
      </c>
      <c r="CC183" s="77">
        <v>4.8</v>
      </c>
      <c r="CD183" s="65">
        <f t="shared" si="196"/>
        <v>116.7883211678832</v>
      </c>
      <c r="CE183" s="87">
        <v>0</v>
      </c>
      <c r="CF183" s="79">
        <f t="shared" si="197"/>
        <v>28.749000000000002</v>
      </c>
      <c r="CG183" s="80">
        <v>4.3</v>
      </c>
      <c r="CH183" s="77">
        <v>6.71</v>
      </c>
      <c r="CI183" s="77">
        <v>6.14</v>
      </c>
      <c r="CJ183" s="77">
        <v>2.16</v>
      </c>
      <c r="CK183" s="59">
        <f t="shared" si="214"/>
        <v>50.232558139534888</v>
      </c>
      <c r="CL183" s="87">
        <v>0</v>
      </c>
      <c r="CM183" s="72">
        <f t="shared" si="198"/>
        <v>13.856583333333333</v>
      </c>
      <c r="CN183" s="81">
        <f t="shared" si="199"/>
        <v>1</v>
      </c>
      <c r="CO183" s="59">
        <f t="shared" si="200"/>
        <v>14.551842000000004</v>
      </c>
      <c r="CP183" s="59">
        <f t="shared" si="201"/>
        <v>1</v>
      </c>
      <c r="CQ183" s="59">
        <f t="shared" si="202"/>
        <v>8.3554529999999989</v>
      </c>
      <c r="CR183" s="59">
        <f>IF(AV183&gt;0,'Look Ups'!$L$3,0)</f>
        <v>1</v>
      </c>
      <c r="CS183" s="59">
        <f t="shared" si="203"/>
        <v>0</v>
      </c>
      <c r="CT183" s="59">
        <f t="shared" si="215"/>
        <v>0</v>
      </c>
      <c r="CU183" s="59">
        <f t="shared" si="216"/>
        <v>0</v>
      </c>
      <c r="CV183" s="79">
        <f t="shared" si="217"/>
        <v>0</v>
      </c>
      <c r="CW183" s="82" t="str">
        <f t="shared" si="204"/>
        <v>valid</v>
      </c>
      <c r="CX183" s="65" t="str">
        <f t="shared" si="205"/>
        <v>valid</v>
      </c>
      <c r="CY183" s="66" t="str">
        <f t="shared" si="206"/>
        <v>MGScrSp</v>
      </c>
      <c r="CZ183" s="81">
        <f t="shared" si="207"/>
        <v>22.907295000000005</v>
      </c>
      <c r="DA183" s="59">
        <f t="shared" si="208"/>
        <v>6.1180641000000016</v>
      </c>
      <c r="DB183" s="59">
        <f t="shared" si="209"/>
        <v>1.9253956166666668</v>
      </c>
      <c r="DC183" s="59">
        <f t="shared" si="210"/>
        <v>6.016096365000001</v>
      </c>
      <c r="DD183" s="59">
        <f t="shared" si="211"/>
        <v>0.30256216833333338</v>
      </c>
      <c r="DE183" s="79">
        <f t="shared" si="212"/>
        <v>23.576505012000005</v>
      </c>
      <c r="DF183" s="83">
        <f t="shared" si="213"/>
        <v>29.225953533333342</v>
      </c>
    </row>
    <row r="184" spans="2:110" ht="16.5" customHeight="1" x14ac:dyDescent="0.25">
      <c r="B184" s="168"/>
      <c r="C184" s="168" t="s">
        <v>628</v>
      </c>
      <c r="D184" s="169" t="s">
        <v>629</v>
      </c>
      <c r="E184" s="170" t="s">
        <v>617</v>
      </c>
      <c r="F184" s="50">
        <f t="shared" si="151"/>
        <v>0.8718582828285949</v>
      </c>
      <c r="G184" s="50" t="str">
        <f t="shared" ca="1" si="185"/>
        <v>No</v>
      </c>
      <c r="H184" s="51" t="str">
        <f t="shared" si="186"/>
        <v>Main - Genoa - Spinnaker</v>
      </c>
      <c r="I184" s="171">
        <v>37884</v>
      </c>
      <c r="J184" s="171"/>
      <c r="K184" s="172" t="s">
        <v>630</v>
      </c>
      <c r="L184" s="172" t="s">
        <v>387</v>
      </c>
      <c r="M184" s="171"/>
      <c r="N184" s="87" t="s">
        <v>537</v>
      </c>
      <c r="O184" s="87"/>
      <c r="P184" s="186"/>
      <c r="Q184" s="175">
        <v>8.1999999999999993</v>
      </c>
      <c r="R184" s="78"/>
      <c r="S184" s="59">
        <f t="shared" si="187"/>
        <v>0.20499999999999999</v>
      </c>
      <c r="T184" s="176">
        <v>0.04</v>
      </c>
      <c r="U184" s="176">
        <v>0</v>
      </c>
      <c r="V184" s="61">
        <f t="shared" si="188"/>
        <v>8.16</v>
      </c>
      <c r="W184" s="62">
        <f>IF(RL&gt;0,IF(RL&gt;'Look Ups'!R$7,'Look Ups'!R$8,('Look Ups'!R$3*RL^3+'Look Ups'!R$4*RL^2+'Look Ups'!R$5*RL+'Look Ups'!R$6)),0)</f>
        <v>0.29433033036800005</v>
      </c>
      <c r="X184" s="177">
        <v>1225</v>
      </c>
      <c r="Y184" s="178"/>
      <c r="Z184" s="178"/>
      <c r="AA184" s="178"/>
      <c r="AB184" s="65">
        <f t="shared" si="189"/>
        <v>1225</v>
      </c>
      <c r="AC184" s="66">
        <f t="shared" si="190"/>
        <v>1225</v>
      </c>
      <c r="AD184" s="179" t="s">
        <v>129</v>
      </c>
      <c r="AE184" s="180" t="s">
        <v>130</v>
      </c>
      <c r="AF184" s="181" t="s">
        <v>131</v>
      </c>
      <c r="AG184" s="70">
        <f>IF(C184="",0,VLOOKUP(AD184,'Look Ups'!$B$3:$C$6,2,0)*VLOOKUP(AE184,'Look Ups'!$E$3:$F$5,2,0)*VLOOKUP(AF184,'Look Ups'!$H$3:$I$7,2,0))</f>
        <v>1</v>
      </c>
      <c r="AH184" s="80">
        <v>10.48</v>
      </c>
      <c r="AI184" s="77">
        <v>10.220000000000001</v>
      </c>
      <c r="AJ184" s="77">
        <v>3.23</v>
      </c>
      <c r="AK184" s="77">
        <v>0.99</v>
      </c>
      <c r="AL184" s="77">
        <v>0.59</v>
      </c>
      <c r="AM184" s="77">
        <v>10.31</v>
      </c>
      <c r="AN184" s="77">
        <v>0.14000000000000001</v>
      </c>
      <c r="AO184" s="77">
        <v>3.32</v>
      </c>
      <c r="AP184" s="77">
        <v>0.02</v>
      </c>
      <c r="AQ184" s="77">
        <v>0.46</v>
      </c>
      <c r="AR184" s="77" t="s">
        <v>132</v>
      </c>
      <c r="AS184" s="87">
        <v>0</v>
      </c>
      <c r="AT184" s="59">
        <f t="shared" si="191"/>
        <v>10.33</v>
      </c>
      <c r="AU184" s="59">
        <f t="shared" si="192"/>
        <v>1.778475</v>
      </c>
      <c r="AV184" s="72">
        <f>IF(C184="",0,(0.5*(_ML1*LPM)+0.5*(_ML1*HB)+0.66*(P*PR)+0.66*(_ML2*RDM)+0.66*(E*ER))*VLOOKUP(BATT,'Look Ups'!$N$3:$O$4,2,0))</f>
        <v>27.088936</v>
      </c>
      <c r="AW184" s="182"/>
      <c r="AX184" s="183"/>
      <c r="AY184" s="80">
        <v>8.5299999999999994</v>
      </c>
      <c r="AZ184" s="77">
        <v>3.22</v>
      </c>
      <c r="BA184" s="77">
        <v>3.55</v>
      </c>
      <c r="BB184" s="77">
        <v>0.11</v>
      </c>
      <c r="BC184" s="77">
        <v>7.72</v>
      </c>
      <c r="BD184" s="77"/>
      <c r="BE184" s="77"/>
      <c r="BF184" s="77">
        <v>0.15</v>
      </c>
      <c r="BG184" s="77">
        <v>0.02</v>
      </c>
      <c r="BH184" s="87">
        <v>0</v>
      </c>
      <c r="BI184" s="72">
        <f t="shared" si="193"/>
        <v>14.867906</v>
      </c>
      <c r="BJ184" s="76"/>
      <c r="BK184" s="77"/>
      <c r="BL184" s="78"/>
      <c r="BM184" s="78"/>
      <c r="BN184" s="77"/>
      <c r="BO184" s="78"/>
      <c r="BP184" s="78"/>
      <c r="BQ184" s="79">
        <f t="shared" si="194"/>
        <v>0</v>
      </c>
      <c r="BR184" s="80"/>
      <c r="BS184" s="77"/>
      <c r="BT184" s="77"/>
      <c r="BU184" s="77"/>
      <c r="BV184" s="77"/>
      <c r="BW184" s="77"/>
      <c r="BX184" s="77"/>
      <c r="BY184" s="72">
        <f t="shared" si="195"/>
        <v>0</v>
      </c>
      <c r="BZ184" s="182">
        <v>7.9</v>
      </c>
      <c r="CA184" s="77">
        <v>11.66</v>
      </c>
      <c r="CB184" s="77">
        <v>10.33</v>
      </c>
      <c r="CC184" s="77">
        <v>6.83</v>
      </c>
      <c r="CD184" s="65">
        <f t="shared" si="196"/>
        <v>86.455696202531641</v>
      </c>
      <c r="CE184" s="77">
        <v>0</v>
      </c>
      <c r="CF184" s="79">
        <f t="shared" si="197"/>
        <v>64.540650000000014</v>
      </c>
      <c r="CG184" s="80"/>
      <c r="CH184" s="77"/>
      <c r="CI184" s="77"/>
      <c r="CJ184" s="77"/>
      <c r="CK184" s="59" t="str">
        <f t="shared" si="214"/>
        <v/>
      </c>
      <c r="CL184" s="77">
        <v>0</v>
      </c>
      <c r="CM184" s="72">
        <f t="shared" si="198"/>
        <v>0</v>
      </c>
      <c r="CN184" s="81">
        <f t="shared" si="199"/>
        <v>1</v>
      </c>
      <c r="CO184" s="59">
        <f t="shared" si="200"/>
        <v>28.867411000000001</v>
      </c>
      <c r="CP184" s="59">
        <f t="shared" si="201"/>
        <v>1</v>
      </c>
      <c r="CQ184" s="59">
        <f t="shared" si="202"/>
        <v>14.867906</v>
      </c>
      <c r="CR184" s="59">
        <f>IF(AV184&gt;0,'Look Ups'!$L$3,0)</f>
        <v>1</v>
      </c>
      <c r="CS184" s="59">
        <f t="shared" si="203"/>
        <v>0</v>
      </c>
      <c r="CT184" s="59">
        <f t="shared" si="215"/>
        <v>0</v>
      </c>
      <c r="CU184" s="59">
        <f t="shared" si="216"/>
        <v>0</v>
      </c>
      <c r="CV184" s="79">
        <f t="shared" si="217"/>
        <v>0</v>
      </c>
      <c r="CW184" s="82" t="str">
        <f t="shared" si="204"/>
        <v>-</v>
      </c>
      <c r="CX184" s="65" t="str">
        <f t="shared" si="205"/>
        <v>valid</v>
      </c>
      <c r="CY184" s="66" t="str">
        <f t="shared" si="206"/>
        <v>MGSp</v>
      </c>
      <c r="CZ184" s="81">
        <f t="shared" si="207"/>
        <v>43.735317000000002</v>
      </c>
      <c r="DA184" s="59">
        <f t="shared" si="208"/>
        <v>14.901823200000004</v>
      </c>
      <c r="DB184" s="59">
        <f t="shared" si="209"/>
        <v>0</v>
      </c>
      <c r="DC184" s="59">
        <f t="shared" si="210"/>
        <v>14.653459480000004</v>
      </c>
      <c r="DD184" s="59">
        <f t="shared" si="211"/>
        <v>0</v>
      </c>
      <c r="DE184" s="79">
        <f t="shared" si="212"/>
        <v>45.247263539999999</v>
      </c>
      <c r="DF184" s="83">
        <f t="shared" si="213"/>
        <v>58.637140200000005</v>
      </c>
    </row>
    <row r="185" spans="2:110" ht="16.5" customHeight="1" x14ac:dyDescent="0.25">
      <c r="B185" s="168"/>
      <c r="C185" s="47" t="s">
        <v>249</v>
      </c>
      <c r="D185" s="48" t="s">
        <v>235</v>
      </c>
      <c r="E185" s="49" t="s">
        <v>862</v>
      </c>
      <c r="F185" s="50">
        <f t="shared" si="151"/>
        <v>0.92763139598908639</v>
      </c>
      <c r="G185" s="50" t="str">
        <f t="shared" ca="1" si="185"/>
        <v>No</v>
      </c>
      <c r="H185" s="51" t="str">
        <f t="shared" si="186"/>
        <v>Main - Genoa - Screacher - Spinnaker</v>
      </c>
      <c r="I185" s="52">
        <v>40256</v>
      </c>
      <c r="J185" s="52">
        <v>40258</v>
      </c>
      <c r="K185" s="53" t="s">
        <v>142</v>
      </c>
      <c r="L185" s="53" t="s">
        <v>143</v>
      </c>
      <c r="M185" s="54"/>
      <c r="N185" s="75" t="s">
        <v>127</v>
      </c>
      <c r="O185" s="75" t="s">
        <v>128</v>
      </c>
      <c r="P185" s="86"/>
      <c r="Q185" s="57">
        <v>7.22</v>
      </c>
      <c r="R185" s="58"/>
      <c r="S185" s="59">
        <f t="shared" si="187"/>
        <v>0.18049999999999999</v>
      </c>
      <c r="T185" s="60">
        <v>0</v>
      </c>
      <c r="U185" s="60"/>
      <c r="V185" s="61">
        <f t="shared" si="188"/>
        <v>7.22</v>
      </c>
      <c r="W185" s="62">
        <f>IF(RL&gt;0,IF(RL&gt;'Look Ups'!R$7,'Look Ups'!R$8,('Look Ups'!R$3*RL^3+'Look Ups'!R$4*RL^2+'Look Ups'!R$5*RL+'Look Ups'!R$6)),0)</f>
        <v>0.29073035258400004</v>
      </c>
      <c r="X185" s="63">
        <v>800</v>
      </c>
      <c r="Y185" s="64"/>
      <c r="Z185" s="64"/>
      <c r="AA185" s="64"/>
      <c r="AB185" s="65">
        <f t="shared" si="189"/>
        <v>800</v>
      </c>
      <c r="AC185" s="66">
        <f t="shared" si="190"/>
        <v>800</v>
      </c>
      <c r="AD185" s="67" t="s">
        <v>154</v>
      </c>
      <c r="AE185" s="68" t="s">
        <v>130</v>
      </c>
      <c r="AF185" s="69" t="s">
        <v>131</v>
      </c>
      <c r="AG185" s="70">
        <f>IF(C185="",0,VLOOKUP(AD185,'Look Ups'!$B$3:$C$6,2,0)*VLOOKUP(AE185,'Look Ups'!$E$3:$F$5,2,0)*VLOOKUP(AF185,'Look Ups'!$H$3:$I$7,2,0))</f>
        <v>0.99</v>
      </c>
      <c r="AH185" s="71">
        <v>10.84</v>
      </c>
      <c r="AI185" s="60">
        <v>10.62</v>
      </c>
      <c r="AJ185" s="60">
        <v>3.5</v>
      </c>
      <c r="AK185" s="60">
        <v>1.2</v>
      </c>
      <c r="AL185" s="60">
        <v>0.35</v>
      </c>
      <c r="AM185" s="60">
        <v>10.8</v>
      </c>
      <c r="AN185" s="60">
        <v>0.1</v>
      </c>
      <c r="AO185" s="60">
        <v>3.65</v>
      </c>
      <c r="AP185" s="60">
        <v>0</v>
      </c>
      <c r="AQ185" s="60">
        <v>0.46</v>
      </c>
      <c r="AR185" s="60" t="s">
        <v>132</v>
      </c>
      <c r="AS185" s="75"/>
      <c r="AT185" s="59">
        <f t="shared" si="191"/>
        <v>10.8</v>
      </c>
      <c r="AU185" s="59">
        <f t="shared" si="192"/>
        <v>1.8630000000000004</v>
      </c>
      <c r="AV185" s="72">
        <f>IF(C185="",0,(0.5*(_ML1*LPM)+0.5*(_ML1*HB)+0.66*(P*PR)+0.66*(_ML2*RDM)+0.66*(E*ER))*VLOOKUP(BATT,'Look Ups'!$N$3:$O$4,2,0))</f>
        <v>28.64002</v>
      </c>
      <c r="AW185" s="73"/>
      <c r="AX185" s="74"/>
      <c r="AY185" s="71">
        <v>9.4700000000000006</v>
      </c>
      <c r="AZ185" s="60">
        <v>2.5</v>
      </c>
      <c r="BA185" s="60">
        <v>2.84</v>
      </c>
      <c r="BB185" s="60">
        <v>0.1</v>
      </c>
      <c r="BC185" s="60">
        <v>8.5399999999999991</v>
      </c>
      <c r="BD185" s="60"/>
      <c r="BE185" s="60"/>
      <c r="BF185" s="60"/>
      <c r="BG185" s="60"/>
      <c r="BH185" s="75"/>
      <c r="BI185" s="72">
        <f t="shared" si="193"/>
        <v>12.024940000000001</v>
      </c>
      <c r="BJ185" s="76"/>
      <c r="BK185" s="77"/>
      <c r="BL185" s="78"/>
      <c r="BM185" s="78"/>
      <c r="BN185" s="77"/>
      <c r="BO185" s="78"/>
      <c r="BP185" s="78"/>
      <c r="BQ185" s="79">
        <f t="shared" si="194"/>
        <v>0</v>
      </c>
      <c r="BR185" s="80"/>
      <c r="BS185" s="77"/>
      <c r="BT185" s="77"/>
      <c r="BU185" s="77"/>
      <c r="BV185" s="77"/>
      <c r="BW185" s="77"/>
      <c r="BX185" s="77"/>
      <c r="BY185" s="72">
        <f t="shared" si="195"/>
        <v>0</v>
      </c>
      <c r="BZ185" s="73">
        <v>6.7</v>
      </c>
      <c r="CA185" s="60">
        <v>8.65</v>
      </c>
      <c r="CB185" s="60">
        <v>11.13</v>
      </c>
      <c r="CC185" s="60">
        <v>6.21</v>
      </c>
      <c r="CD185" s="65">
        <f t="shared" si="196"/>
        <v>92.686567164179095</v>
      </c>
      <c r="CE185" s="60"/>
      <c r="CF185" s="79">
        <f t="shared" si="197"/>
        <v>51.988433333333333</v>
      </c>
      <c r="CG185" s="71">
        <v>5.82</v>
      </c>
      <c r="CH185" s="60">
        <v>10.75</v>
      </c>
      <c r="CI185" s="60">
        <v>9.8800000000000008</v>
      </c>
      <c r="CJ185" s="60">
        <v>2.95</v>
      </c>
      <c r="CK185" s="59">
        <f t="shared" si="214"/>
        <v>50.687285223367695</v>
      </c>
      <c r="CL185" s="60"/>
      <c r="CM185" s="72">
        <f t="shared" si="198"/>
        <v>30.291716666666673</v>
      </c>
      <c r="CN185" s="81">
        <f t="shared" si="199"/>
        <v>1</v>
      </c>
      <c r="CO185" s="59">
        <f t="shared" si="200"/>
        <v>30.503019999999999</v>
      </c>
      <c r="CP185" s="59">
        <f t="shared" si="201"/>
        <v>1</v>
      </c>
      <c r="CQ185" s="59">
        <f t="shared" si="202"/>
        <v>12.024940000000001</v>
      </c>
      <c r="CR185" s="59">
        <f>IF(AV185&gt;0,'Look Ups'!$L$3,0)</f>
        <v>1</v>
      </c>
      <c r="CS185" s="59">
        <f t="shared" si="203"/>
        <v>0</v>
      </c>
      <c r="CT185" s="59">
        <f t="shared" si="215"/>
        <v>0</v>
      </c>
      <c r="CU185" s="59">
        <f t="shared" si="216"/>
        <v>0</v>
      </c>
      <c r="CV185" s="79">
        <f t="shared" si="217"/>
        <v>0</v>
      </c>
      <c r="CW185" s="82" t="str">
        <f t="shared" si="204"/>
        <v>valid</v>
      </c>
      <c r="CX185" s="65" t="str">
        <f t="shared" si="205"/>
        <v>valid</v>
      </c>
      <c r="CY185" s="66" t="str">
        <f t="shared" si="206"/>
        <v>MGScrSp</v>
      </c>
      <c r="CZ185" s="81">
        <f t="shared" si="207"/>
        <v>42.52796</v>
      </c>
      <c r="DA185" s="59">
        <f t="shared" si="208"/>
        <v>11.989047999999999</v>
      </c>
      <c r="DB185" s="59">
        <f t="shared" si="209"/>
        <v>6.3933718333333349</v>
      </c>
      <c r="DC185" s="59">
        <f t="shared" si="210"/>
        <v>11.789230533333333</v>
      </c>
      <c r="DD185" s="59">
        <f t="shared" si="211"/>
        <v>1.0046727166666669</v>
      </c>
      <c r="DE185" s="79">
        <f t="shared" si="212"/>
        <v>44.523592639999997</v>
      </c>
      <c r="DF185" s="83">
        <f t="shared" si="213"/>
        <v>55.32186325</v>
      </c>
    </row>
    <row r="186" spans="2:110" ht="16.5" customHeight="1" x14ac:dyDescent="0.25">
      <c r="B186" s="47"/>
      <c r="C186" s="47" t="s">
        <v>257</v>
      </c>
      <c r="D186" s="48" t="s">
        <v>258</v>
      </c>
      <c r="E186" s="49" t="s">
        <v>863</v>
      </c>
      <c r="F186" s="50">
        <f t="shared" si="151"/>
        <v>0.82915608592515566</v>
      </c>
      <c r="G186" s="50" t="str">
        <f t="shared" ca="1" si="185"/>
        <v>No</v>
      </c>
      <c r="H186" s="51" t="str">
        <f t="shared" si="186"/>
        <v>Main - Genoa - Screacher - Spinnaker</v>
      </c>
      <c r="I186" s="52">
        <v>39355</v>
      </c>
      <c r="J186" s="52">
        <v>40504</v>
      </c>
      <c r="K186" s="53" t="s">
        <v>205</v>
      </c>
      <c r="L186" s="53" t="s">
        <v>148</v>
      </c>
      <c r="M186" s="54"/>
      <c r="N186" s="75" t="s">
        <v>127</v>
      </c>
      <c r="O186" s="75" t="s">
        <v>128</v>
      </c>
      <c r="P186" s="56"/>
      <c r="Q186" s="57">
        <v>7.41</v>
      </c>
      <c r="R186" s="58"/>
      <c r="S186" s="59">
        <f t="shared" si="187"/>
        <v>0.18525000000000003</v>
      </c>
      <c r="T186" s="60">
        <v>0.21</v>
      </c>
      <c r="U186" s="60">
        <v>0</v>
      </c>
      <c r="V186" s="61">
        <f t="shared" si="188"/>
        <v>7.2</v>
      </c>
      <c r="W186" s="62">
        <f>IF(RL&gt;0,IF(RL&gt;'Look Ups'!R$7,'Look Ups'!R$8,('Look Ups'!R$3*RL^3+'Look Ups'!R$4*RL^2+'Look Ups'!R$5*RL+'Look Ups'!R$6)),0)</f>
        <v>0.29064118400000005</v>
      </c>
      <c r="X186" s="63">
        <v>984</v>
      </c>
      <c r="Y186" s="64"/>
      <c r="Z186" s="64"/>
      <c r="AA186" s="64"/>
      <c r="AB186" s="65">
        <f t="shared" si="189"/>
        <v>984</v>
      </c>
      <c r="AC186" s="66">
        <f t="shared" si="190"/>
        <v>984</v>
      </c>
      <c r="AD186" s="67" t="s">
        <v>129</v>
      </c>
      <c r="AE186" s="68" t="s">
        <v>130</v>
      </c>
      <c r="AF186" s="69" t="s">
        <v>131</v>
      </c>
      <c r="AG186" s="70">
        <f>IF(C186="",0,VLOOKUP(AD186,'Look Ups'!$B$3:$C$6,2,0)*VLOOKUP(AE186,'Look Ups'!$E$3:$F$5,2,0)*VLOOKUP(AF186,'Look Ups'!$H$3:$I$7,2,0))</f>
        <v>1</v>
      </c>
      <c r="AH186" s="71">
        <v>9.4499999999999993</v>
      </c>
      <c r="AI186" s="60">
        <v>9.19</v>
      </c>
      <c r="AJ186" s="60">
        <v>3.12</v>
      </c>
      <c r="AK186" s="60">
        <v>0.74</v>
      </c>
      <c r="AL186" s="60">
        <v>0.78</v>
      </c>
      <c r="AM186" s="60">
        <v>8.9600000000000009</v>
      </c>
      <c r="AN186" s="60">
        <v>0.14000000000000001</v>
      </c>
      <c r="AO186" s="60">
        <v>3.28</v>
      </c>
      <c r="AP186" s="60">
        <v>0.02</v>
      </c>
      <c r="AQ186" s="60">
        <v>0.4</v>
      </c>
      <c r="AR186" s="60" t="s">
        <v>132</v>
      </c>
      <c r="AS186" s="75">
        <v>0</v>
      </c>
      <c r="AT186" s="59">
        <f t="shared" si="191"/>
        <v>8.98</v>
      </c>
      <c r="AU186" s="59">
        <f t="shared" si="192"/>
        <v>1.3440000000000003</v>
      </c>
      <c r="AV186" s="72">
        <f>IF(C186="",0,(0.5*(_ML1*LPM)+0.5*(_ML1*HB)+0.66*(P*PR)+0.66*(_ML2*RDM)+0.66*(E*ER))*VLOOKUP(BATT,'Look Ups'!$N$3:$O$4,2,0))</f>
        <v>23.840712</v>
      </c>
      <c r="AW186" s="73"/>
      <c r="AX186" s="74"/>
      <c r="AY186" s="71">
        <v>8.1</v>
      </c>
      <c r="AZ186" s="60">
        <v>2.72</v>
      </c>
      <c r="BA186" s="60">
        <v>3.05</v>
      </c>
      <c r="BB186" s="60">
        <v>0.05</v>
      </c>
      <c r="BC186" s="60">
        <v>7.26</v>
      </c>
      <c r="BD186" s="60"/>
      <c r="BE186" s="60"/>
      <c r="BF186" s="60">
        <v>7.0000000000000007E-2</v>
      </c>
      <c r="BG186" s="60">
        <v>0.04</v>
      </c>
      <c r="BH186" s="75">
        <v>0</v>
      </c>
      <c r="BI186" s="72">
        <f t="shared" si="193"/>
        <v>11.665901999999999</v>
      </c>
      <c r="BJ186" s="76"/>
      <c r="BK186" s="77"/>
      <c r="BL186" s="78"/>
      <c r="BM186" s="78"/>
      <c r="BN186" s="77"/>
      <c r="BO186" s="78"/>
      <c r="BP186" s="78"/>
      <c r="BQ186" s="79">
        <f t="shared" si="194"/>
        <v>0</v>
      </c>
      <c r="BR186" s="80"/>
      <c r="BS186" s="77"/>
      <c r="BT186" s="77"/>
      <c r="BU186" s="77"/>
      <c r="BV186" s="77"/>
      <c r="BW186" s="77"/>
      <c r="BX186" s="77"/>
      <c r="BY186" s="72">
        <f t="shared" si="195"/>
        <v>0</v>
      </c>
      <c r="BZ186" s="73">
        <v>6</v>
      </c>
      <c r="CA186" s="60">
        <v>10.83</v>
      </c>
      <c r="CB186" s="60">
        <v>8.5500000000000007</v>
      </c>
      <c r="CC186" s="60">
        <v>6.03</v>
      </c>
      <c r="CD186" s="65">
        <f t="shared" si="196"/>
        <v>100.50000000000001</v>
      </c>
      <c r="CE186" s="60">
        <v>0</v>
      </c>
      <c r="CF186" s="79">
        <f t="shared" si="197"/>
        <v>48.643800000000006</v>
      </c>
      <c r="CG186" s="71">
        <v>5.13</v>
      </c>
      <c r="CH186" s="60">
        <v>9.19</v>
      </c>
      <c r="CI186" s="60">
        <v>8.01</v>
      </c>
      <c r="CJ186" s="60">
        <v>2.5750000000000002</v>
      </c>
      <c r="CK186" s="59">
        <f t="shared" si="214"/>
        <v>50.194931773879148</v>
      </c>
      <c r="CL186" s="60">
        <v>0</v>
      </c>
      <c r="CM186" s="72">
        <f t="shared" si="198"/>
        <v>22.116333333333333</v>
      </c>
      <c r="CN186" s="81">
        <f t="shared" si="199"/>
        <v>1</v>
      </c>
      <c r="CO186" s="59">
        <f t="shared" si="200"/>
        <v>25.184712000000005</v>
      </c>
      <c r="CP186" s="59">
        <f t="shared" si="201"/>
        <v>1</v>
      </c>
      <c r="CQ186" s="59">
        <f t="shared" si="202"/>
        <v>11.665901999999999</v>
      </c>
      <c r="CR186" s="59">
        <f>IF(AV186&gt;0,'Look Ups'!$L$3,0)</f>
        <v>1</v>
      </c>
      <c r="CS186" s="59">
        <f t="shared" si="203"/>
        <v>0</v>
      </c>
      <c r="CT186" s="59">
        <f t="shared" si="215"/>
        <v>0</v>
      </c>
      <c r="CU186" s="59">
        <f t="shared" si="216"/>
        <v>0</v>
      </c>
      <c r="CV186" s="79">
        <f t="shared" si="217"/>
        <v>0</v>
      </c>
      <c r="CW186" s="82" t="str">
        <f t="shared" si="204"/>
        <v>valid</v>
      </c>
      <c r="CX186" s="65" t="str">
        <f t="shared" si="205"/>
        <v>valid</v>
      </c>
      <c r="CY186" s="66" t="str">
        <f t="shared" si="206"/>
        <v>MGScrSp</v>
      </c>
      <c r="CZ186" s="81">
        <f t="shared" si="207"/>
        <v>36.850614000000007</v>
      </c>
      <c r="DA186" s="59">
        <f t="shared" si="208"/>
        <v>11.093369400000002</v>
      </c>
      <c r="DB186" s="59">
        <f t="shared" si="209"/>
        <v>3.6576509666666666</v>
      </c>
      <c r="DC186" s="59">
        <f t="shared" si="210"/>
        <v>10.908479910000002</v>
      </c>
      <c r="DD186" s="59">
        <f t="shared" si="211"/>
        <v>0.57477372333333343</v>
      </c>
      <c r="DE186" s="79">
        <f t="shared" si="212"/>
        <v>38.310645480000005</v>
      </c>
      <c r="DF186" s="83">
        <f t="shared" si="213"/>
        <v>48.333867633333348</v>
      </c>
    </row>
    <row r="187" spans="2:110" ht="19.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row>
    <row r="188" spans="2:110" ht="16.5" customHeight="1" x14ac:dyDescent="0.25">
      <c r="B188" s="168"/>
      <c r="C188" s="168" t="s">
        <v>636</v>
      </c>
      <c r="D188" s="184" t="s">
        <v>637</v>
      </c>
      <c r="E188" s="170" t="s">
        <v>638</v>
      </c>
      <c r="F188" s="50">
        <f t="shared" si="151"/>
        <v>0.90783960071711711</v>
      </c>
      <c r="G188" s="50" t="str">
        <f t="shared" ca="1" si="185"/>
        <v>No</v>
      </c>
      <c r="H188" s="51" t="str">
        <f t="shared" si="186"/>
        <v>Main - Genoa - Spinnaker</v>
      </c>
      <c r="I188" s="171">
        <v>37883</v>
      </c>
      <c r="J188" s="171">
        <v>39346</v>
      </c>
      <c r="K188" s="172" t="s">
        <v>218</v>
      </c>
      <c r="L188" s="172" t="s">
        <v>187</v>
      </c>
      <c r="M188" s="171"/>
      <c r="N188" s="87" t="s">
        <v>537</v>
      </c>
      <c r="O188" s="87"/>
      <c r="P188" s="185"/>
      <c r="Q188" s="175">
        <v>8.2799999999999994</v>
      </c>
      <c r="R188" s="78"/>
      <c r="S188" s="59">
        <f t="shared" si="187"/>
        <v>0.20699999999999999</v>
      </c>
      <c r="T188" s="176">
        <v>0.06</v>
      </c>
      <c r="U188" s="176">
        <v>0</v>
      </c>
      <c r="V188" s="61">
        <f t="shared" si="188"/>
        <v>8.2199999999999989</v>
      </c>
      <c r="W188" s="62">
        <f>IF(RL&gt;0,IF(RL&gt;'Look Ups'!R$7,'Look Ups'!R$8,('Look Ups'!R$3*RL^3+'Look Ups'!R$4*RL^2+'Look Ups'!R$5*RL+'Look Ups'!R$6)),0)</f>
        <v>0.29452284418400004</v>
      </c>
      <c r="X188" s="177">
        <v>1110</v>
      </c>
      <c r="Y188" s="178"/>
      <c r="Z188" s="178"/>
      <c r="AA188" s="178"/>
      <c r="AB188" s="65">
        <f t="shared" si="189"/>
        <v>1110</v>
      </c>
      <c r="AC188" s="66">
        <f t="shared" si="190"/>
        <v>1110</v>
      </c>
      <c r="AD188" s="179" t="s">
        <v>129</v>
      </c>
      <c r="AE188" s="180" t="s">
        <v>130</v>
      </c>
      <c r="AF188" s="181" t="s">
        <v>131</v>
      </c>
      <c r="AG188" s="70">
        <f>IF(C188="",0,VLOOKUP(AD188,'Look Ups'!$B$3:$C$6,2,0)*VLOOKUP(AE188,'Look Ups'!$E$3:$F$5,2,0)*VLOOKUP(AF188,'Look Ups'!$H$3:$I$7,2,0))</f>
        <v>1</v>
      </c>
      <c r="AH188" s="80">
        <v>10.76</v>
      </c>
      <c r="AI188" s="77">
        <v>10.3</v>
      </c>
      <c r="AJ188" s="77">
        <v>3.16</v>
      </c>
      <c r="AK188" s="77">
        <v>1.6800000000000002</v>
      </c>
      <c r="AL188" s="77">
        <v>0.28000000000000003</v>
      </c>
      <c r="AM188" s="77">
        <v>10.47</v>
      </c>
      <c r="AN188" s="77">
        <v>0.13</v>
      </c>
      <c r="AO188" s="77">
        <v>3.18</v>
      </c>
      <c r="AP188" s="77">
        <v>0.01</v>
      </c>
      <c r="AQ188" s="77">
        <v>0.45</v>
      </c>
      <c r="AR188" s="77" t="s">
        <v>132</v>
      </c>
      <c r="AS188" s="87">
        <v>0</v>
      </c>
      <c r="AT188" s="59">
        <f t="shared" si="191"/>
        <v>10.48</v>
      </c>
      <c r="AU188" s="59">
        <f t="shared" si="192"/>
        <v>1.7668125000000003</v>
      </c>
      <c r="AV188" s="72">
        <f>IF(C188="",0,(0.5*(_ML1*LPM)+0.5*(_ML1*HB)+0.66*(P*PR)+0.66*(_ML2*RDM)+0.66*(E*ER))*VLOOKUP(BATT,'Look Ups'!$N$3:$O$4,2,0))</f>
        <v>28.861954000000001</v>
      </c>
      <c r="AW188" s="182"/>
      <c r="AX188" s="183"/>
      <c r="AY188" s="80">
        <v>9.09</v>
      </c>
      <c r="AZ188" s="77">
        <v>2.72</v>
      </c>
      <c r="BA188" s="77">
        <v>3.07</v>
      </c>
      <c r="BB188" s="77">
        <v>0.75</v>
      </c>
      <c r="BC188" s="77">
        <v>8.1300000000000008</v>
      </c>
      <c r="BD188" s="77"/>
      <c r="BE188" s="77"/>
      <c r="BF188" s="77">
        <v>0.13</v>
      </c>
      <c r="BG188" s="77">
        <v>-0.06</v>
      </c>
      <c r="BH188" s="87">
        <v>0</v>
      </c>
      <c r="BI188" s="72">
        <f t="shared" si="193"/>
        <v>14.219640000000002</v>
      </c>
      <c r="BJ188" s="76"/>
      <c r="BK188" s="77"/>
      <c r="BL188" s="78"/>
      <c r="BM188" s="78"/>
      <c r="BN188" s="77"/>
      <c r="BO188" s="78"/>
      <c r="BP188" s="78"/>
      <c r="BQ188" s="79">
        <f t="shared" si="194"/>
        <v>0</v>
      </c>
      <c r="BR188" s="80"/>
      <c r="BS188" s="77"/>
      <c r="BT188" s="77"/>
      <c r="BU188" s="77"/>
      <c r="BV188" s="77"/>
      <c r="BW188" s="77"/>
      <c r="BX188" s="77"/>
      <c r="BY188" s="72">
        <f t="shared" si="195"/>
        <v>0</v>
      </c>
      <c r="BZ188" s="182">
        <v>7.49</v>
      </c>
      <c r="CA188" s="77">
        <v>12.14</v>
      </c>
      <c r="CB188" s="77">
        <v>10.59</v>
      </c>
      <c r="CC188" s="77">
        <v>6.45</v>
      </c>
      <c r="CD188" s="65">
        <f t="shared" si="196"/>
        <v>86.114819759679577</v>
      </c>
      <c r="CE188" s="87">
        <v>0</v>
      </c>
      <c r="CF188" s="79">
        <f t="shared" si="197"/>
        <v>63.056808333333336</v>
      </c>
      <c r="CG188" s="80"/>
      <c r="CH188" s="77"/>
      <c r="CI188" s="77"/>
      <c r="CJ188" s="77"/>
      <c r="CK188" s="59" t="str">
        <f t="shared" si="214"/>
        <v/>
      </c>
      <c r="CL188" s="87">
        <v>0</v>
      </c>
      <c r="CM188" s="72">
        <f t="shared" si="198"/>
        <v>0</v>
      </c>
      <c r="CN188" s="81">
        <f t="shared" si="199"/>
        <v>1</v>
      </c>
      <c r="CO188" s="59">
        <f t="shared" si="200"/>
        <v>30.628766500000001</v>
      </c>
      <c r="CP188" s="59">
        <f t="shared" si="201"/>
        <v>1</v>
      </c>
      <c r="CQ188" s="59">
        <f t="shared" si="202"/>
        <v>14.219640000000002</v>
      </c>
      <c r="CR188" s="59">
        <f>IF(AV188&gt;0,'Look Ups'!$L$3,0)</f>
        <v>1</v>
      </c>
      <c r="CS188" s="59">
        <f t="shared" si="203"/>
        <v>0</v>
      </c>
      <c r="CT188" s="59">
        <f t="shared" si="215"/>
        <v>0</v>
      </c>
      <c r="CU188" s="59">
        <f t="shared" si="216"/>
        <v>0</v>
      </c>
      <c r="CV188" s="79">
        <f t="shared" si="217"/>
        <v>0</v>
      </c>
      <c r="CW188" s="82" t="str">
        <f t="shared" si="204"/>
        <v>-</v>
      </c>
      <c r="CX188" s="65" t="str">
        <f t="shared" si="205"/>
        <v>valid</v>
      </c>
      <c r="CY188" s="66" t="str">
        <f t="shared" si="206"/>
        <v>MGSp</v>
      </c>
      <c r="CZ188" s="81">
        <f t="shared" si="207"/>
        <v>44.848406500000003</v>
      </c>
      <c r="DA188" s="59">
        <f t="shared" si="208"/>
        <v>14.6511505</v>
      </c>
      <c r="DB188" s="59">
        <f t="shared" si="209"/>
        <v>0</v>
      </c>
      <c r="DC188" s="59">
        <f t="shared" si="210"/>
        <v>14.406964658333333</v>
      </c>
      <c r="DD188" s="59">
        <f t="shared" si="211"/>
        <v>0</v>
      </c>
      <c r="DE188" s="79">
        <f t="shared" si="212"/>
        <v>46.620592162000001</v>
      </c>
      <c r="DF188" s="83">
        <f t="shared" si="213"/>
        <v>59.499557000000003</v>
      </c>
    </row>
    <row r="189" spans="2:110" ht="17.25" customHeight="1" x14ac:dyDescent="0.25">
      <c r="B189" s="168"/>
      <c r="C189" s="168" t="s">
        <v>639</v>
      </c>
      <c r="D189" s="184" t="s">
        <v>640</v>
      </c>
      <c r="E189" s="170" t="s">
        <v>641</v>
      </c>
      <c r="F189" s="50">
        <f t="shared" si="151"/>
        <v>0.73308136786081401</v>
      </c>
      <c r="G189" s="50" t="str">
        <f t="shared" ca="1" si="185"/>
        <v>No</v>
      </c>
      <c r="H189" s="51" t="str">
        <f t="shared" si="186"/>
        <v>Main - Genoa - Screacher - Spinnaker</v>
      </c>
      <c r="I189" s="171">
        <v>38790</v>
      </c>
      <c r="J189" s="171"/>
      <c r="K189" s="172" t="s">
        <v>261</v>
      </c>
      <c r="L189" s="172" t="s">
        <v>187</v>
      </c>
      <c r="M189" s="171"/>
      <c r="N189" s="87" t="s">
        <v>575</v>
      </c>
      <c r="O189" s="87"/>
      <c r="P189" s="185">
        <v>5.64</v>
      </c>
      <c r="Q189" s="175">
        <v>6.78</v>
      </c>
      <c r="R189" s="78"/>
      <c r="S189" s="59">
        <f t="shared" si="187"/>
        <v>0.16950000000000001</v>
      </c>
      <c r="T189" s="176">
        <v>0.1</v>
      </c>
      <c r="U189" s="176">
        <v>0</v>
      </c>
      <c r="V189" s="61">
        <f t="shared" si="188"/>
        <v>6.6800000000000006</v>
      </c>
      <c r="W189" s="62">
        <f>IF(RL&gt;0,IF(RL&gt;'Look Ups'!R$7,'Look Ups'!R$8,('Look Ups'!R$3*RL^3+'Look Ups'!R$4*RL^2+'Look Ups'!R$5*RL+'Look Ups'!R$6)),0)</f>
        <v>0.28812520185599999</v>
      </c>
      <c r="X189" s="177">
        <f>810-20</f>
        <v>790</v>
      </c>
      <c r="Y189" s="178"/>
      <c r="Z189" s="178"/>
      <c r="AA189" s="178"/>
      <c r="AB189" s="65">
        <f t="shared" si="189"/>
        <v>790</v>
      </c>
      <c r="AC189" s="66">
        <f t="shared" si="190"/>
        <v>790</v>
      </c>
      <c r="AD189" s="179" t="s">
        <v>129</v>
      </c>
      <c r="AE189" s="180" t="s">
        <v>130</v>
      </c>
      <c r="AF189" s="181" t="s">
        <v>131</v>
      </c>
      <c r="AG189" s="70">
        <f>IF(C189="",0,VLOOKUP(AD189,'Look Ups'!$B$3:$C$6,2,0)*VLOOKUP(AE189,'Look Ups'!$E$3:$F$5,2,0)*VLOOKUP(AF189,'Look Ups'!$H$3:$I$7,2,0))</f>
        <v>1</v>
      </c>
      <c r="AH189" s="80">
        <v>8.59</v>
      </c>
      <c r="AI189" s="77">
        <v>8.44</v>
      </c>
      <c r="AJ189" s="77">
        <v>2.37</v>
      </c>
      <c r="AK189" s="77">
        <v>0.5</v>
      </c>
      <c r="AL189" s="77">
        <v>0.51</v>
      </c>
      <c r="AM189" s="77">
        <v>8.33</v>
      </c>
      <c r="AN189" s="77">
        <v>0.06</v>
      </c>
      <c r="AO189" s="77">
        <v>2.4300000000000002</v>
      </c>
      <c r="AP189" s="77">
        <v>0.05</v>
      </c>
      <c r="AQ189" s="77">
        <v>0.33</v>
      </c>
      <c r="AR189" s="77" t="s">
        <v>132</v>
      </c>
      <c r="AS189" s="87">
        <v>0</v>
      </c>
      <c r="AT189" s="59">
        <f t="shared" si="191"/>
        <v>8.3800000000000008</v>
      </c>
      <c r="AU189" s="59">
        <f t="shared" si="192"/>
        <v>1.0308375000000001</v>
      </c>
      <c r="AV189" s="72">
        <f>IF(C189="",0,(0.5*(_ML1*LPM)+0.5*(_ML1*HB)+0.66*(P*PR)+0.66*(_ML2*RDM)+0.66*(E*ER))*VLOOKUP(BATT,'Look Ups'!$N$3:$O$4,2,0))</f>
        <v>15.577612</v>
      </c>
      <c r="AW189" s="182"/>
      <c r="AX189" s="183"/>
      <c r="AY189" s="80">
        <v>6.78</v>
      </c>
      <c r="AZ189" s="77">
        <v>2.44</v>
      </c>
      <c r="BA189" s="77">
        <v>2.8</v>
      </c>
      <c r="BB189" s="77">
        <v>0.03</v>
      </c>
      <c r="BC189" s="77">
        <v>5.97</v>
      </c>
      <c r="BD189" s="77"/>
      <c r="BE189" s="77"/>
      <c r="BF189" s="77">
        <v>-0.12</v>
      </c>
      <c r="BG189" s="77">
        <v>0</v>
      </c>
      <c r="BH189" s="87">
        <v>0</v>
      </c>
      <c r="BI189" s="72">
        <f t="shared" si="193"/>
        <v>7.8542160000000001</v>
      </c>
      <c r="BJ189" s="76"/>
      <c r="BK189" s="77"/>
      <c r="BL189" s="78"/>
      <c r="BM189" s="78"/>
      <c r="BN189" s="77"/>
      <c r="BO189" s="78"/>
      <c r="BP189" s="78"/>
      <c r="BQ189" s="79">
        <f t="shared" si="194"/>
        <v>0</v>
      </c>
      <c r="BR189" s="80"/>
      <c r="BS189" s="77"/>
      <c r="BT189" s="77"/>
      <c r="BU189" s="77"/>
      <c r="BV189" s="77"/>
      <c r="BW189" s="77"/>
      <c r="BX189" s="77"/>
      <c r="BY189" s="72">
        <f t="shared" si="195"/>
        <v>0</v>
      </c>
      <c r="BZ189" s="182">
        <v>5.04</v>
      </c>
      <c r="CA189" s="77">
        <v>9.3000000000000007</v>
      </c>
      <c r="CB189" s="77">
        <v>7.5</v>
      </c>
      <c r="CC189" s="77">
        <v>4.28</v>
      </c>
      <c r="CD189" s="65">
        <f t="shared" si="196"/>
        <v>84.920634920634924</v>
      </c>
      <c r="CE189" s="87">
        <v>0</v>
      </c>
      <c r="CF189" s="79">
        <f t="shared" si="197"/>
        <v>31.024000000000004</v>
      </c>
      <c r="CG189" s="80">
        <v>4.79</v>
      </c>
      <c r="CH189" s="77">
        <v>7.63</v>
      </c>
      <c r="CI189" s="77">
        <v>5.91</v>
      </c>
      <c r="CJ189" s="77">
        <v>2.41</v>
      </c>
      <c r="CK189" s="59">
        <f t="shared" si="214"/>
        <v>50.313152400835072</v>
      </c>
      <c r="CL189" s="87">
        <v>0</v>
      </c>
      <c r="CM189" s="72">
        <f t="shared" si="198"/>
        <v>16.281850000000002</v>
      </c>
      <c r="CN189" s="81">
        <f t="shared" si="199"/>
        <v>1</v>
      </c>
      <c r="CO189" s="59">
        <f t="shared" si="200"/>
        <v>16.608449499999999</v>
      </c>
      <c r="CP189" s="59">
        <f t="shared" si="201"/>
        <v>1</v>
      </c>
      <c r="CQ189" s="59">
        <f t="shared" si="202"/>
        <v>7.8542160000000001</v>
      </c>
      <c r="CR189" s="59">
        <f>IF(AV189&gt;0,'Look Ups'!$L$3,0)</f>
        <v>1</v>
      </c>
      <c r="CS189" s="59">
        <f t="shared" si="203"/>
        <v>0</v>
      </c>
      <c r="CT189" s="59">
        <f t="shared" si="215"/>
        <v>0</v>
      </c>
      <c r="CU189" s="59">
        <f t="shared" si="216"/>
        <v>0</v>
      </c>
      <c r="CV189" s="79">
        <f t="shared" si="217"/>
        <v>0</v>
      </c>
      <c r="CW189" s="82" t="str">
        <f t="shared" si="204"/>
        <v>valid</v>
      </c>
      <c r="CX189" s="65" t="str">
        <f t="shared" si="205"/>
        <v>valid</v>
      </c>
      <c r="CY189" s="66" t="str">
        <f t="shared" si="206"/>
        <v>MGScrSp</v>
      </c>
      <c r="CZ189" s="81">
        <f t="shared" si="207"/>
        <v>24.4626655</v>
      </c>
      <c r="DA189" s="59">
        <f t="shared" si="208"/>
        <v>6.9509352000000009</v>
      </c>
      <c r="DB189" s="59">
        <f t="shared" si="209"/>
        <v>2.9496719000000002</v>
      </c>
      <c r="DC189" s="59">
        <f t="shared" si="210"/>
        <v>6.8350862800000005</v>
      </c>
      <c r="DD189" s="59">
        <f t="shared" si="211"/>
        <v>0.46351987000000006</v>
      </c>
      <c r="DE189" s="79">
        <f t="shared" si="212"/>
        <v>25.408122718000001</v>
      </c>
      <c r="DF189" s="83">
        <f t="shared" si="213"/>
        <v>31.761271649999998</v>
      </c>
    </row>
    <row r="190" spans="2:110" ht="16.5" customHeight="1" x14ac:dyDescent="0.25">
      <c r="B190" s="168"/>
      <c r="C190" s="168" t="s">
        <v>642</v>
      </c>
      <c r="D190" s="169" t="s">
        <v>643</v>
      </c>
      <c r="E190" s="170" t="s">
        <v>644</v>
      </c>
      <c r="F190" s="50">
        <f t="shared" si="151"/>
        <v>0.63002809633600731</v>
      </c>
      <c r="G190" s="50" t="str">
        <f t="shared" ca="1" si="185"/>
        <v>No</v>
      </c>
      <c r="H190" s="51" t="str">
        <f t="shared" si="186"/>
        <v>Main - Genoa - Spinnaker</v>
      </c>
      <c r="I190" s="171">
        <v>37304</v>
      </c>
      <c r="J190" s="171"/>
      <c r="K190" s="172" t="s">
        <v>305</v>
      </c>
      <c r="L190" s="172" t="s">
        <v>390</v>
      </c>
      <c r="M190" s="171"/>
      <c r="N190" s="173" t="s">
        <v>149</v>
      </c>
      <c r="O190" s="173"/>
      <c r="P190" s="174">
        <v>6.4</v>
      </c>
      <c r="Q190" s="175">
        <v>10.95</v>
      </c>
      <c r="R190" s="78"/>
      <c r="S190" s="59">
        <f t="shared" si="187"/>
        <v>0.27374999999999999</v>
      </c>
      <c r="T190" s="176">
        <v>0.03</v>
      </c>
      <c r="U190" s="176">
        <v>0</v>
      </c>
      <c r="V190" s="61">
        <f t="shared" si="188"/>
        <v>10.92</v>
      </c>
      <c r="W190" s="62">
        <f>IF(RL&gt;0,IF(RL&gt;'Look Ups'!R$7,'Look Ups'!R$8,('Look Ups'!R$3*RL^3+'Look Ups'!R$4*RL^2+'Look Ups'!R$5*RL+'Look Ups'!R$6)),0)</f>
        <v>0.29946667270400001</v>
      </c>
      <c r="X190" s="177">
        <v>6760</v>
      </c>
      <c r="Y190" s="178"/>
      <c r="Z190" s="178"/>
      <c r="AA190" s="178"/>
      <c r="AB190" s="65">
        <f t="shared" si="189"/>
        <v>6760</v>
      </c>
      <c r="AC190" s="66">
        <f t="shared" si="190"/>
        <v>6760</v>
      </c>
      <c r="AD190" s="179" t="s">
        <v>545</v>
      </c>
      <c r="AE190" s="180" t="s">
        <v>130</v>
      </c>
      <c r="AF190" s="181" t="s">
        <v>161</v>
      </c>
      <c r="AG190" s="70">
        <f>IF(C190="",0,VLOOKUP(AD190,'Look Ups'!$B$3:$C$6,2,0)*VLOOKUP(AE190,'Look Ups'!$E$3:$F$5,2,0)*VLOOKUP(AF190,'Look Ups'!$H$3:$I$7,2,0))</f>
        <v>0.97019999999999995</v>
      </c>
      <c r="AH190" s="80">
        <v>13.52</v>
      </c>
      <c r="AI190" s="77">
        <v>13.45</v>
      </c>
      <c r="AJ190" s="77">
        <v>4.3600000000000003</v>
      </c>
      <c r="AK190" s="77">
        <v>0.16</v>
      </c>
      <c r="AL190" s="77">
        <v>1.07</v>
      </c>
      <c r="AM190" s="77">
        <v>13.31</v>
      </c>
      <c r="AN190" s="77">
        <v>0.24</v>
      </c>
      <c r="AO190" s="77">
        <v>4.4800000000000004</v>
      </c>
      <c r="AP190" s="77">
        <v>-0.03</v>
      </c>
      <c r="AQ190" s="77">
        <v>0</v>
      </c>
      <c r="AR190" s="77" t="s">
        <v>132</v>
      </c>
      <c r="AS190" s="87">
        <v>0</v>
      </c>
      <c r="AT190" s="59">
        <f t="shared" si="191"/>
        <v>13.280000000000001</v>
      </c>
      <c r="AU190" s="59">
        <f t="shared" si="192"/>
        <v>0</v>
      </c>
      <c r="AV190" s="72">
        <f>IF(C190="",0,(0.5*(_ML1*LPM)+0.5*(_ML1*HB)+0.66*(P*PR)+0.66*(_ML2*RDM)+0.66*(E*ER))*VLOOKUP(BATT,'Look Ups'!$N$3:$O$4,2,0))</f>
        <v>42.073189999999997</v>
      </c>
      <c r="AW190" s="182"/>
      <c r="AX190" s="183"/>
      <c r="AY190" s="80">
        <v>13.36</v>
      </c>
      <c r="AZ190" s="77">
        <v>4.78</v>
      </c>
      <c r="BA190" s="77">
        <v>6.2</v>
      </c>
      <c r="BB190" s="77">
        <v>0.15</v>
      </c>
      <c r="BC190" s="77">
        <v>10.86</v>
      </c>
      <c r="BD190" s="77"/>
      <c r="BE190" s="77"/>
      <c r="BF190" s="77">
        <v>-0.19500000000000001</v>
      </c>
      <c r="BG190" s="77">
        <v>-0.06</v>
      </c>
      <c r="BH190" s="87"/>
      <c r="BI190" s="72">
        <f t="shared" si="193"/>
        <v>30.617462</v>
      </c>
      <c r="BJ190" s="76"/>
      <c r="BK190" s="77"/>
      <c r="BL190" s="78"/>
      <c r="BM190" s="78"/>
      <c r="BN190" s="77"/>
      <c r="BO190" s="78"/>
      <c r="BP190" s="78"/>
      <c r="BQ190" s="79">
        <f t="shared" si="194"/>
        <v>0</v>
      </c>
      <c r="BR190" s="80"/>
      <c r="BS190" s="77"/>
      <c r="BT190" s="77"/>
      <c r="BU190" s="77"/>
      <c r="BV190" s="77"/>
      <c r="BW190" s="77"/>
      <c r="BX190" s="77"/>
      <c r="BY190" s="72">
        <f t="shared" si="195"/>
        <v>0</v>
      </c>
      <c r="BZ190" s="182">
        <v>7.76</v>
      </c>
      <c r="CA190" s="77">
        <v>12.46</v>
      </c>
      <c r="CB190" s="77">
        <v>14.13</v>
      </c>
      <c r="CC190" s="77">
        <v>7.28</v>
      </c>
      <c r="CD190" s="65">
        <f t="shared" si="196"/>
        <v>93.814432989690729</v>
      </c>
      <c r="CE190" s="77">
        <v>0</v>
      </c>
      <c r="CF190" s="79">
        <f t="shared" si="197"/>
        <v>81.719933333333344</v>
      </c>
      <c r="CG190" s="80"/>
      <c r="CH190" s="77"/>
      <c r="CI190" s="77"/>
      <c r="CJ190" s="77"/>
      <c r="CK190" s="59" t="str">
        <f t="shared" si="214"/>
        <v/>
      </c>
      <c r="CL190" s="77">
        <v>0</v>
      </c>
      <c r="CM190" s="72">
        <f t="shared" si="198"/>
        <v>0</v>
      </c>
      <c r="CN190" s="81">
        <f t="shared" si="199"/>
        <v>1</v>
      </c>
      <c r="CO190" s="59">
        <f t="shared" si="200"/>
        <v>42.073189999999997</v>
      </c>
      <c r="CP190" s="59">
        <f t="shared" si="201"/>
        <v>1</v>
      </c>
      <c r="CQ190" s="59">
        <f t="shared" si="202"/>
        <v>30.617462</v>
      </c>
      <c r="CR190" s="59">
        <f>IF(AV190&gt;0,'Look Ups'!$L$3,0)</f>
        <v>1</v>
      </c>
      <c r="CS190" s="59">
        <f t="shared" si="203"/>
        <v>0</v>
      </c>
      <c r="CT190" s="59">
        <f t="shared" si="215"/>
        <v>0</v>
      </c>
      <c r="CU190" s="59">
        <f t="shared" si="216"/>
        <v>0</v>
      </c>
      <c r="CV190" s="79">
        <f t="shared" si="217"/>
        <v>0</v>
      </c>
      <c r="CW190" s="82" t="str">
        <f t="shared" si="204"/>
        <v>-</v>
      </c>
      <c r="CX190" s="65" t="str">
        <f t="shared" si="205"/>
        <v>valid</v>
      </c>
      <c r="CY190" s="66" t="str">
        <f t="shared" si="206"/>
        <v>MGSp</v>
      </c>
      <c r="CZ190" s="81">
        <f t="shared" si="207"/>
        <v>72.690652</v>
      </c>
      <c r="DA190" s="59">
        <f t="shared" si="208"/>
        <v>15.330741400000001</v>
      </c>
      <c r="DB190" s="59">
        <f t="shared" si="209"/>
        <v>0</v>
      </c>
      <c r="DC190" s="59">
        <f t="shared" si="210"/>
        <v>15.075229043333335</v>
      </c>
      <c r="DD190" s="59">
        <f t="shared" si="211"/>
        <v>0</v>
      </c>
      <c r="DE190" s="79">
        <f t="shared" si="212"/>
        <v>73.927870623999993</v>
      </c>
      <c r="DF190" s="83">
        <f t="shared" si="213"/>
        <v>88.021393399999994</v>
      </c>
    </row>
    <row r="191" spans="2:110" ht="16.5" customHeight="1" x14ac:dyDescent="0.25">
      <c r="B191" s="168"/>
      <c r="C191" s="168" t="s">
        <v>645</v>
      </c>
      <c r="D191" s="169" t="s">
        <v>615</v>
      </c>
      <c r="E191" s="170" t="s">
        <v>646</v>
      </c>
      <c r="F191" s="50">
        <f t="shared" si="151"/>
        <v>0.83427497704644515</v>
      </c>
      <c r="G191" s="50" t="str">
        <f t="shared" ca="1" si="185"/>
        <v>No</v>
      </c>
      <c r="H191" s="51" t="str">
        <f t="shared" si="186"/>
        <v>Main - Genoa - Screacher - Spinnaker</v>
      </c>
      <c r="I191" s="171">
        <v>40254</v>
      </c>
      <c r="J191" s="171">
        <v>40262</v>
      </c>
      <c r="K191" s="172" t="s">
        <v>205</v>
      </c>
      <c r="L191" s="172" t="s">
        <v>143</v>
      </c>
      <c r="M191" s="171"/>
      <c r="N191" s="173" t="s">
        <v>575</v>
      </c>
      <c r="O191" s="173"/>
      <c r="P191" s="186"/>
      <c r="Q191" s="175">
        <v>9.19</v>
      </c>
      <c r="R191" s="78"/>
      <c r="S191" s="59">
        <f t="shared" si="187"/>
        <v>0.22975000000000001</v>
      </c>
      <c r="T191" s="176">
        <v>0.43</v>
      </c>
      <c r="U191" s="176">
        <v>0</v>
      </c>
      <c r="V191" s="61">
        <f t="shared" si="188"/>
        <v>8.76</v>
      </c>
      <c r="W191" s="62">
        <f>IF(RL&gt;0,IF(RL&gt;'Look Ups'!R$7,'Look Ups'!R$8,('Look Ups'!R$3*RL^3+'Look Ups'!R$4*RL^2+'Look Ups'!R$5*RL+'Look Ups'!R$6)),0)</f>
        <v>0.29607066540800003</v>
      </c>
      <c r="X191" s="177">
        <f>2420+25</f>
        <v>2445</v>
      </c>
      <c r="Y191" s="178"/>
      <c r="Z191" s="178"/>
      <c r="AA191" s="178"/>
      <c r="AB191" s="65">
        <f t="shared" si="189"/>
        <v>2445</v>
      </c>
      <c r="AC191" s="66">
        <f t="shared" si="190"/>
        <v>2445</v>
      </c>
      <c r="AD191" s="179" t="s">
        <v>129</v>
      </c>
      <c r="AE191" s="180" t="s">
        <v>130</v>
      </c>
      <c r="AF191" s="181" t="s">
        <v>131</v>
      </c>
      <c r="AG191" s="70">
        <f>IF(C191="",0,VLOOKUP(AD191,'Look Ups'!$B$3:$C$6,2,0)*VLOOKUP(AE191,'Look Ups'!$E$3:$F$5,2,0)*VLOOKUP(AF191,'Look Ups'!$H$3:$I$7,2,0))</f>
        <v>1</v>
      </c>
      <c r="AH191" s="80">
        <v>14.6</v>
      </c>
      <c r="AI191" s="77">
        <v>13.84</v>
      </c>
      <c r="AJ191" s="77">
        <v>3.76</v>
      </c>
      <c r="AK191" s="77">
        <v>1.04</v>
      </c>
      <c r="AL191" s="77">
        <v>0.74</v>
      </c>
      <c r="AM191" s="77">
        <v>13.38</v>
      </c>
      <c r="AN191" s="77">
        <v>0</v>
      </c>
      <c r="AO191" s="77">
        <v>3.96</v>
      </c>
      <c r="AP191" s="77">
        <v>0.13</v>
      </c>
      <c r="AQ191" s="77">
        <v>0</v>
      </c>
      <c r="AR191" s="77" t="s">
        <v>132</v>
      </c>
      <c r="AS191" s="87"/>
      <c r="AT191" s="59">
        <f t="shared" si="191"/>
        <v>13.510000000000002</v>
      </c>
      <c r="AU191" s="59">
        <f t="shared" si="192"/>
        <v>0</v>
      </c>
      <c r="AV191" s="72">
        <f>IF(C191="",0,(0.5*(_ML1*LPM)+0.5*(_ML1*HB)+0.66*(P*PR)+0.66*(_ML2*RDM)+0.66*(E*ER))*VLOOKUP(BATT,'Look Ups'!$N$3:$O$4,2,0))</f>
        <v>42.139223999999999</v>
      </c>
      <c r="AW191" s="182"/>
      <c r="AX191" s="183"/>
      <c r="AY191" s="80">
        <v>12.86</v>
      </c>
      <c r="AZ191" s="77">
        <v>4.03</v>
      </c>
      <c r="BA191" s="77">
        <v>4.2</v>
      </c>
      <c r="BB191" s="77">
        <v>0.19</v>
      </c>
      <c r="BC191" s="77">
        <v>12.15</v>
      </c>
      <c r="BD191" s="77"/>
      <c r="BE191" s="77"/>
      <c r="BF191" s="77">
        <v>-0.09</v>
      </c>
      <c r="BG191" s="77">
        <v>0</v>
      </c>
      <c r="BH191" s="87"/>
      <c r="BI191" s="72">
        <f t="shared" si="193"/>
        <v>25.717869999999998</v>
      </c>
      <c r="BJ191" s="76">
        <v>0</v>
      </c>
      <c r="BK191" s="77">
        <v>0</v>
      </c>
      <c r="BL191" s="78">
        <v>0</v>
      </c>
      <c r="BM191" s="78">
        <v>0</v>
      </c>
      <c r="BN191" s="77">
        <v>0</v>
      </c>
      <c r="BO191" s="78">
        <v>0</v>
      </c>
      <c r="BP191" s="78">
        <v>0</v>
      </c>
      <c r="BQ191" s="79">
        <f t="shared" si="194"/>
        <v>0</v>
      </c>
      <c r="BR191" s="80"/>
      <c r="BS191" s="77"/>
      <c r="BT191" s="77"/>
      <c r="BU191" s="77"/>
      <c r="BV191" s="77"/>
      <c r="BW191" s="77"/>
      <c r="BX191" s="77"/>
      <c r="BY191" s="72">
        <f t="shared" si="195"/>
        <v>0</v>
      </c>
      <c r="BZ191" s="182">
        <v>7.85</v>
      </c>
      <c r="CA191" s="77">
        <v>14.4</v>
      </c>
      <c r="CB191" s="77">
        <v>12.32</v>
      </c>
      <c r="CC191" s="77">
        <v>7.45</v>
      </c>
      <c r="CD191" s="65">
        <f t="shared" si="196"/>
        <v>94.904458598726109</v>
      </c>
      <c r="CE191" s="77"/>
      <c r="CF191" s="79">
        <f t="shared" si="197"/>
        <v>83.834000000000003</v>
      </c>
      <c r="CG191" s="80">
        <v>7.75</v>
      </c>
      <c r="CH191" s="77">
        <v>13.66</v>
      </c>
      <c r="CI191" s="77">
        <v>12.11</v>
      </c>
      <c r="CJ191" s="77">
        <v>4.4000000000000004</v>
      </c>
      <c r="CK191" s="59">
        <f t="shared" si="214"/>
        <v>56.774193548387096</v>
      </c>
      <c r="CL191" s="77"/>
      <c r="CM191" s="72">
        <f t="shared" si="198"/>
        <v>54.439125000000004</v>
      </c>
      <c r="CN191" s="81">
        <f t="shared" si="199"/>
        <v>1</v>
      </c>
      <c r="CO191" s="59">
        <f t="shared" si="200"/>
        <v>42.139223999999999</v>
      </c>
      <c r="CP191" s="59">
        <f t="shared" si="201"/>
        <v>1</v>
      </c>
      <c r="CQ191" s="59">
        <f t="shared" si="202"/>
        <v>25.717869999999998</v>
      </c>
      <c r="CR191" s="59">
        <f>IF(AV191&gt;0,'Look Ups'!$L$3,0)</f>
        <v>1</v>
      </c>
      <c r="CS191" s="59">
        <f t="shared" si="203"/>
        <v>0</v>
      </c>
      <c r="CT191" s="59">
        <f t="shared" si="215"/>
        <v>0</v>
      </c>
      <c r="CU191" s="59">
        <f t="shared" si="216"/>
        <v>0</v>
      </c>
      <c r="CV191" s="79">
        <f t="shared" si="217"/>
        <v>0</v>
      </c>
      <c r="CW191" s="82" t="str">
        <f t="shared" si="204"/>
        <v>valid</v>
      </c>
      <c r="CX191" s="65" t="str">
        <f t="shared" si="205"/>
        <v>valid</v>
      </c>
      <c r="CY191" s="66" t="str">
        <f t="shared" si="206"/>
        <v>MGScrSp</v>
      </c>
      <c r="CZ191" s="81">
        <f t="shared" si="207"/>
        <v>67.857093999999989</v>
      </c>
      <c r="DA191" s="59">
        <f t="shared" si="208"/>
        <v>17.434839</v>
      </c>
      <c r="DB191" s="59">
        <f t="shared" si="209"/>
        <v>10.052439250000001</v>
      </c>
      <c r="DC191" s="59">
        <f t="shared" si="210"/>
        <v>17.144258350000001</v>
      </c>
      <c r="DD191" s="59">
        <f t="shared" si="211"/>
        <v>1.5796690250000003</v>
      </c>
      <c r="DE191" s="79">
        <f t="shared" si="212"/>
        <v>69.630600231999992</v>
      </c>
      <c r="DF191" s="83">
        <f t="shared" si="213"/>
        <v>86.581021374999992</v>
      </c>
    </row>
    <row r="192" spans="2:110" ht="16.5" customHeight="1" x14ac:dyDescent="0.25">
      <c r="B192" s="168"/>
      <c r="C192" s="47" t="s">
        <v>267</v>
      </c>
      <c r="D192" s="48" t="s">
        <v>268</v>
      </c>
      <c r="E192" s="49" t="s">
        <v>269</v>
      </c>
      <c r="F192" s="50">
        <f t="shared" si="151"/>
        <v>0.92760450319249965</v>
      </c>
      <c r="G192" s="50" t="str">
        <f t="shared" ca="1" si="185"/>
        <v>Yes</v>
      </c>
      <c r="H192" s="51" t="str">
        <f t="shared" si="186"/>
        <v>Main - Genoa - Spinnaker</v>
      </c>
      <c r="I192" s="52">
        <v>41961</v>
      </c>
      <c r="J192" s="52">
        <v>41961</v>
      </c>
      <c r="K192" s="53" t="s">
        <v>270</v>
      </c>
      <c r="L192" s="53" t="s">
        <v>137</v>
      </c>
      <c r="M192" s="54"/>
      <c r="N192" s="75" t="s">
        <v>127</v>
      </c>
      <c r="O192" s="55" t="s">
        <v>128</v>
      </c>
      <c r="P192" s="56"/>
      <c r="Q192" s="57">
        <v>7.07</v>
      </c>
      <c r="R192" s="58"/>
      <c r="S192" s="59">
        <f t="shared" si="187"/>
        <v>0.17675000000000002</v>
      </c>
      <c r="T192" s="60">
        <v>0.11</v>
      </c>
      <c r="U192" s="60">
        <v>0.1</v>
      </c>
      <c r="V192" s="61">
        <f t="shared" si="188"/>
        <v>6.86</v>
      </c>
      <c r="W192" s="62">
        <f>IF(RL&gt;0,IF(RL&gt;'Look Ups'!R$7,'Look Ups'!R$8,('Look Ups'!R$3*RL^3+'Look Ups'!R$4*RL^2+'Look Ups'!R$5*RL+'Look Ups'!R$6)),0)</f>
        <v>0.28903991224800002</v>
      </c>
      <c r="X192" s="63">
        <v>710</v>
      </c>
      <c r="Y192" s="64"/>
      <c r="Z192" s="64"/>
      <c r="AA192" s="64"/>
      <c r="AB192" s="65">
        <f t="shared" si="189"/>
        <v>710</v>
      </c>
      <c r="AC192" s="66">
        <f t="shared" si="190"/>
        <v>710</v>
      </c>
      <c r="AD192" s="67" t="s">
        <v>129</v>
      </c>
      <c r="AE192" s="68" t="s">
        <v>130</v>
      </c>
      <c r="AF192" s="69" t="s">
        <v>131</v>
      </c>
      <c r="AG192" s="70">
        <f>IF(C192="",0,VLOOKUP(AD192,'Look Ups'!$B$3:$C$6,2,0)*VLOOKUP(AE192,'Look Ups'!$E$3:$F$5,2,0)*VLOOKUP(AF192,'Look Ups'!$H$3:$I$7,2,0))</f>
        <v>1</v>
      </c>
      <c r="AH192" s="71">
        <v>10.31</v>
      </c>
      <c r="AI192" s="60">
        <v>10.130000000000001</v>
      </c>
      <c r="AJ192" s="60">
        <v>2.81</v>
      </c>
      <c r="AK192" s="60">
        <v>0.76</v>
      </c>
      <c r="AL192" s="60">
        <v>0.74</v>
      </c>
      <c r="AM192" s="60">
        <v>10.11</v>
      </c>
      <c r="AN192" s="60">
        <v>9.5000000000000001E-2</v>
      </c>
      <c r="AO192" s="60">
        <v>2.88</v>
      </c>
      <c r="AP192" s="60">
        <v>0</v>
      </c>
      <c r="AQ192" s="60">
        <v>0.57500000000000007</v>
      </c>
      <c r="AR192" s="60" t="s">
        <v>132</v>
      </c>
      <c r="AS192" s="75" t="s">
        <v>271</v>
      </c>
      <c r="AT192" s="59">
        <f t="shared" si="191"/>
        <v>10.11</v>
      </c>
      <c r="AU192" s="59">
        <f t="shared" si="192"/>
        <v>2.17996875</v>
      </c>
      <c r="AV192" s="72">
        <f>IF(C192="",0,(0.5*(_ML1*LPM)+0.5*(_ML1*HB)+0.66*(P*PR)+0.66*(_ML2*RDM)+0.66*(E*ER))*VLOOKUP(BATT,'Look Ups'!$N$3:$O$4,2,0))</f>
        <v>23.984739000000005</v>
      </c>
      <c r="AW192" s="73"/>
      <c r="AX192" s="74"/>
      <c r="AY192" s="71">
        <v>9.18</v>
      </c>
      <c r="AZ192" s="60">
        <v>2.52</v>
      </c>
      <c r="BA192" s="60">
        <v>2.91</v>
      </c>
      <c r="BB192" s="60">
        <v>9.5000000000000001E-2</v>
      </c>
      <c r="BC192" s="60">
        <v>8.14</v>
      </c>
      <c r="BD192" s="60"/>
      <c r="BE192" s="60"/>
      <c r="BF192" s="60">
        <v>0</v>
      </c>
      <c r="BG192" s="60">
        <v>0.32</v>
      </c>
      <c r="BH192" s="75" t="s">
        <v>195</v>
      </c>
      <c r="BI192" s="72">
        <f t="shared" si="193"/>
        <v>13.688072999999997</v>
      </c>
      <c r="BJ192" s="76"/>
      <c r="BK192" s="77"/>
      <c r="BL192" s="78"/>
      <c r="BM192" s="78"/>
      <c r="BN192" s="77"/>
      <c r="BO192" s="78"/>
      <c r="BP192" s="78"/>
      <c r="BQ192" s="79">
        <f t="shared" si="194"/>
        <v>0</v>
      </c>
      <c r="BR192" s="80"/>
      <c r="BS192" s="77"/>
      <c r="BT192" s="77"/>
      <c r="BU192" s="77"/>
      <c r="BV192" s="77"/>
      <c r="BW192" s="77"/>
      <c r="BX192" s="77"/>
      <c r="BY192" s="72">
        <f t="shared" si="195"/>
        <v>0</v>
      </c>
      <c r="BZ192" s="73">
        <v>6.47</v>
      </c>
      <c r="CA192" s="60">
        <v>11.94</v>
      </c>
      <c r="CB192" s="60">
        <v>10.25</v>
      </c>
      <c r="CC192" s="60">
        <v>5.36</v>
      </c>
      <c r="CD192" s="65">
        <f t="shared" si="196"/>
        <v>82.843894899536323</v>
      </c>
      <c r="CE192" s="60"/>
      <c r="CF192" s="79">
        <f t="shared" si="197"/>
        <v>51.61024166666666</v>
      </c>
      <c r="CG192" s="71"/>
      <c r="CH192" s="60"/>
      <c r="CI192" s="60"/>
      <c r="CJ192" s="60"/>
      <c r="CK192" s="59" t="str">
        <f t="shared" si="214"/>
        <v/>
      </c>
      <c r="CL192" s="60"/>
      <c r="CM192" s="72">
        <f t="shared" si="198"/>
        <v>0</v>
      </c>
      <c r="CN192" s="81">
        <f t="shared" si="199"/>
        <v>1</v>
      </c>
      <c r="CO192" s="59">
        <f t="shared" si="200"/>
        <v>26.164707750000005</v>
      </c>
      <c r="CP192" s="59">
        <f t="shared" si="201"/>
        <v>1</v>
      </c>
      <c r="CQ192" s="59">
        <f t="shared" si="202"/>
        <v>13.688072999999997</v>
      </c>
      <c r="CR192" s="59">
        <f>IF(AV192&gt;0,'Look Ups'!$L$3,0)</f>
        <v>1</v>
      </c>
      <c r="CS192" s="59">
        <f t="shared" si="203"/>
        <v>0</v>
      </c>
      <c r="CT192" s="59">
        <f t="shared" si="215"/>
        <v>0</v>
      </c>
      <c r="CU192" s="59">
        <f t="shared" si="216"/>
        <v>0</v>
      </c>
      <c r="CV192" s="79">
        <f t="shared" si="217"/>
        <v>0</v>
      </c>
      <c r="CW192" s="82" t="str">
        <f t="shared" si="204"/>
        <v>-</v>
      </c>
      <c r="CX192" s="65" t="str">
        <f t="shared" si="205"/>
        <v>valid</v>
      </c>
      <c r="CY192" s="66" t="str">
        <f t="shared" si="206"/>
        <v>MGSp</v>
      </c>
      <c r="CZ192" s="81">
        <f t="shared" si="207"/>
        <v>39.852780750000001</v>
      </c>
      <c r="DA192" s="59">
        <f t="shared" si="208"/>
        <v>11.3766506</v>
      </c>
      <c r="DB192" s="59">
        <f t="shared" si="209"/>
        <v>0</v>
      </c>
      <c r="DC192" s="59">
        <f t="shared" si="210"/>
        <v>11.187039756666666</v>
      </c>
      <c r="DD192" s="59">
        <f t="shared" si="211"/>
        <v>0</v>
      </c>
      <c r="DE192" s="79">
        <f t="shared" si="212"/>
        <v>41.200257303000001</v>
      </c>
      <c r="DF192" s="83">
        <f t="shared" si="213"/>
        <v>51.229431349999999</v>
      </c>
    </row>
    <row r="193" spans="2:111" ht="16.5" customHeight="1" x14ac:dyDescent="0.25">
      <c r="B193" s="47"/>
      <c r="C193" s="47" t="s">
        <v>272</v>
      </c>
      <c r="D193" s="48" t="s">
        <v>273</v>
      </c>
      <c r="E193" s="49" t="s">
        <v>274</v>
      </c>
      <c r="F193" s="50">
        <f t="shared" si="151"/>
        <v>1.0005695544891748</v>
      </c>
      <c r="G193" s="50" t="str">
        <f t="shared" ca="1" si="185"/>
        <v>No</v>
      </c>
      <c r="H193" s="51" t="str">
        <f t="shared" si="186"/>
        <v>Main - Genoa - Screacher - Bi-Rig</v>
      </c>
      <c r="I193" s="52">
        <v>39837</v>
      </c>
      <c r="J193" s="52"/>
      <c r="K193" s="53" t="s">
        <v>275</v>
      </c>
      <c r="L193" s="53" t="s">
        <v>275</v>
      </c>
      <c r="M193" s="54"/>
      <c r="N193" s="55" t="s">
        <v>149</v>
      </c>
      <c r="O193" s="55"/>
      <c r="P193" s="56">
        <v>7</v>
      </c>
      <c r="Q193" s="57">
        <v>8.5</v>
      </c>
      <c r="R193" s="58"/>
      <c r="S193" s="59">
        <f t="shared" si="187"/>
        <v>0.21250000000000002</v>
      </c>
      <c r="T193" s="60">
        <v>0</v>
      </c>
      <c r="U193" s="60">
        <v>0</v>
      </c>
      <c r="V193" s="61">
        <f t="shared" si="188"/>
        <v>8.5</v>
      </c>
      <c r="W193" s="62">
        <f>IF(RL&gt;0,IF(RL&gt;'Look Ups'!R$7,'Look Ups'!R$8,('Look Ups'!R$3*RL^3+'Look Ups'!R$4*RL^2+'Look Ups'!R$5*RL+'Look Ups'!R$6)),0)</f>
        <v>0.29536612500000003</v>
      </c>
      <c r="X193" s="63">
        <v>1047</v>
      </c>
      <c r="Y193" s="64"/>
      <c r="Z193" s="64"/>
      <c r="AA193" s="64"/>
      <c r="AB193" s="65">
        <f t="shared" si="189"/>
        <v>1047</v>
      </c>
      <c r="AC193" s="66">
        <f t="shared" si="190"/>
        <v>1047</v>
      </c>
      <c r="AD193" s="67" t="s">
        <v>129</v>
      </c>
      <c r="AE193" s="68" t="s">
        <v>130</v>
      </c>
      <c r="AF193" s="69" t="s">
        <v>131</v>
      </c>
      <c r="AG193" s="70">
        <f>IF(C193="",0,VLOOKUP(AD193,'Look Ups'!$B$3:$C$6,2,0)*VLOOKUP(AE193,'Look Ups'!$E$3:$F$5,2,0)*VLOOKUP(AF193,'Look Ups'!$H$3:$I$7,2,0))</f>
        <v>1</v>
      </c>
      <c r="AH193" s="71">
        <v>10.37</v>
      </c>
      <c r="AI193" s="60">
        <v>10.17</v>
      </c>
      <c r="AJ193" s="60">
        <v>2.4300000000000002</v>
      </c>
      <c r="AK193" s="60">
        <v>1.96</v>
      </c>
      <c r="AL193" s="60">
        <v>0.16</v>
      </c>
      <c r="AM193" s="60">
        <v>10.23</v>
      </c>
      <c r="AN193" s="60">
        <v>0.08</v>
      </c>
      <c r="AO193" s="60">
        <v>2.4900000000000002</v>
      </c>
      <c r="AP193" s="60">
        <v>0</v>
      </c>
      <c r="AQ193" s="60">
        <v>0.66</v>
      </c>
      <c r="AR193" s="60" t="s">
        <v>132</v>
      </c>
      <c r="AS193" s="75">
        <v>0</v>
      </c>
      <c r="AT193" s="59">
        <f t="shared" si="191"/>
        <v>10.23</v>
      </c>
      <c r="AU193" s="59">
        <f t="shared" si="192"/>
        <v>2.5319250000000002</v>
      </c>
      <c r="AV193" s="72">
        <f>IF(C193="",0,(0.5*(_ML1*LPM)+0.5*(_ML1*HB)+0.66*(P*PR)+0.66*(_ML2*RDM)+0.66*(E*ER))*VLOOKUP(BATT,'Look Ups'!$N$3:$O$4,2,0))</f>
        <v>24.376245999999998</v>
      </c>
      <c r="AW193" s="73"/>
      <c r="AX193" s="74">
        <f>CO193*0.9</f>
        <v>24.217353899999999</v>
      </c>
      <c r="AY193" s="71"/>
      <c r="AZ193" s="60"/>
      <c r="BA193" s="60"/>
      <c r="BB193" s="60"/>
      <c r="BC193" s="60"/>
      <c r="BD193" s="60"/>
      <c r="BE193" s="60"/>
      <c r="BF193" s="60"/>
      <c r="BG193" s="60"/>
      <c r="BH193" s="75"/>
      <c r="BI193" s="72">
        <f t="shared" si="193"/>
        <v>0</v>
      </c>
      <c r="BJ193" s="76"/>
      <c r="BK193" s="77"/>
      <c r="BL193" s="78"/>
      <c r="BM193" s="78"/>
      <c r="BN193" s="77"/>
      <c r="BO193" s="78"/>
      <c r="BP193" s="78"/>
      <c r="BQ193" s="79">
        <f t="shared" si="194"/>
        <v>0</v>
      </c>
      <c r="BR193" s="80"/>
      <c r="BS193" s="77"/>
      <c r="BT193" s="77"/>
      <c r="BU193" s="77"/>
      <c r="BV193" s="77"/>
      <c r="BW193" s="77"/>
      <c r="BX193" s="77"/>
      <c r="BY193" s="72">
        <f t="shared" si="195"/>
        <v>0</v>
      </c>
      <c r="BZ193" s="73"/>
      <c r="CA193" s="60"/>
      <c r="CB193" s="60"/>
      <c r="CC193" s="60"/>
      <c r="CD193" s="65" t="str">
        <f t="shared" si="196"/>
        <v/>
      </c>
      <c r="CE193" s="60">
        <v>0</v>
      </c>
      <c r="CF193" s="79">
        <f t="shared" si="197"/>
        <v>0</v>
      </c>
      <c r="CG193" s="71">
        <v>7.2</v>
      </c>
      <c r="CH193" s="60">
        <v>12.69</v>
      </c>
      <c r="CI193" s="60">
        <v>10.53</v>
      </c>
      <c r="CJ193" s="60">
        <v>5.27</v>
      </c>
      <c r="CK193" s="59">
        <f t="shared" si="214"/>
        <v>73.194444444444443</v>
      </c>
      <c r="CL193" s="60">
        <v>0</v>
      </c>
      <c r="CM193" s="72">
        <f t="shared" si="198"/>
        <v>54.721799999999995</v>
      </c>
      <c r="CN193" s="81">
        <f t="shared" si="199"/>
        <v>1</v>
      </c>
      <c r="CO193" s="59">
        <f t="shared" si="200"/>
        <v>26.908170999999999</v>
      </c>
      <c r="CP193" s="59">
        <f t="shared" si="201"/>
        <v>1</v>
      </c>
      <c r="CQ193" s="59">
        <f t="shared" si="202"/>
        <v>0</v>
      </c>
      <c r="CR193" s="59">
        <f>IF(AV193&gt;0,'Look Ups'!$L$3,0)</f>
        <v>1</v>
      </c>
      <c r="CS193" s="59">
        <f t="shared" si="203"/>
        <v>0</v>
      </c>
      <c r="CT193" s="59">
        <f t="shared" si="215"/>
        <v>0</v>
      </c>
      <c r="CU193" s="59">
        <f t="shared" si="216"/>
        <v>0</v>
      </c>
      <c r="CV193" s="79">
        <f t="shared" si="217"/>
        <v>0</v>
      </c>
      <c r="CW193" s="82" t="str">
        <f t="shared" si="204"/>
        <v>valid</v>
      </c>
      <c r="CX193" s="65" t="str">
        <f t="shared" si="205"/>
        <v>-</v>
      </c>
      <c r="CY193" s="66" t="str">
        <f t="shared" si="206"/>
        <v>MGScr</v>
      </c>
      <c r="CZ193" s="81">
        <f t="shared" si="207"/>
        <v>26.908170999999999</v>
      </c>
      <c r="DA193" s="59">
        <f t="shared" si="208"/>
        <v>0</v>
      </c>
      <c r="DB193" s="59">
        <f t="shared" si="209"/>
        <v>19.152629999999998</v>
      </c>
      <c r="DC193" s="59">
        <f t="shared" si="210"/>
        <v>0</v>
      </c>
      <c r="DD193" s="59">
        <f t="shared" si="211"/>
        <v>3.0096989999999999</v>
      </c>
      <c r="DE193" s="79">
        <f t="shared" si="212"/>
        <v>29.814253468</v>
      </c>
      <c r="DF193" s="83">
        <f t="shared" si="213"/>
        <v>70.278154900000004</v>
      </c>
    </row>
    <row r="194" spans="2:111" ht="16.5" customHeight="1" x14ac:dyDescent="0.25">
      <c r="B194" s="47"/>
      <c r="C194" s="47" t="s">
        <v>279</v>
      </c>
      <c r="D194" s="84" t="s">
        <v>280</v>
      </c>
      <c r="E194" s="49" t="s">
        <v>281</v>
      </c>
      <c r="F194" s="50">
        <f t="shared" si="151"/>
        <v>0.90920112397893493</v>
      </c>
      <c r="G194" s="50" t="str">
        <f t="shared" ca="1" si="185"/>
        <v>No</v>
      </c>
      <c r="H194" s="51" t="str">
        <f t="shared" si="186"/>
        <v>Main - Genoa - Spinnaker</v>
      </c>
      <c r="I194" s="52">
        <v>40432</v>
      </c>
      <c r="J194" s="52">
        <v>40792</v>
      </c>
      <c r="K194" s="53" t="s">
        <v>147</v>
      </c>
      <c r="L194" s="53" t="s">
        <v>148</v>
      </c>
      <c r="M194" s="54"/>
      <c r="N194" s="75" t="s">
        <v>127</v>
      </c>
      <c r="O194" s="75" t="s">
        <v>128</v>
      </c>
      <c r="P194" s="85"/>
      <c r="Q194" s="57">
        <v>9.42</v>
      </c>
      <c r="R194" s="58"/>
      <c r="S194" s="59">
        <f t="shared" si="187"/>
        <v>0.23550000000000001</v>
      </c>
      <c r="T194" s="60">
        <v>0.05</v>
      </c>
      <c r="U194" s="60">
        <v>0</v>
      </c>
      <c r="V194" s="61">
        <f t="shared" si="188"/>
        <v>9.3699999999999992</v>
      </c>
      <c r="W194" s="62">
        <f>IF(RL&gt;0,IF(RL&gt;'Look Ups'!R$7,'Look Ups'!R$8,('Look Ups'!R$3*RL^3+'Look Ups'!R$4*RL^2+'Look Ups'!R$5*RL+'Look Ups'!R$6)),0)</f>
        <v>0.29744701944900004</v>
      </c>
      <c r="X194" s="63">
        <v>2055</v>
      </c>
      <c r="Y194" s="64"/>
      <c r="Z194" s="64"/>
      <c r="AA194" s="64"/>
      <c r="AB194" s="65">
        <f t="shared" si="189"/>
        <v>2055</v>
      </c>
      <c r="AC194" s="66">
        <f t="shared" si="190"/>
        <v>2055</v>
      </c>
      <c r="AD194" s="67" t="s">
        <v>129</v>
      </c>
      <c r="AE194" s="68" t="s">
        <v>130</v>
      </c>
      <c r="AF194" s="69" t="s">
        <v>131</v>
      </c>
      <c r="AG194" s="70">
        <f>IF(C194="",0,VLOOKUP(AD194,'Look Ups'!$B$3:$C$6,2,0)*VLOOKUP(AE194,'Look Ups'!$E$3:$F$5,2,0)*VLOOKUP(AF194,'Look Ups'!$H$3:$I$7,2,0))</f>
        <v>1</v>
      </c>
      <c r="AH194" s="71">
        <v>12.04</v>
      </c>
      <c r="AI194" s="60">
        <v>11.445</v>
      </c>
      <c r="AJ194" s="60">
        <v>4.62</v>
      </c>
      <c r="AK194" s="60">
        <v>1.33</v>
      </c>
      <c r="AL194" s="60">
        <v>0.81</v>
      </c>
      <c r="AM194" s="60">
        <v>11.31</v>
      </c>
      <c r="AN194" s="60">
        <v>0.156</v>
      </c>
      <c r="AO194" s="60">
        <v>4.95</v>
      </c>
      <c r="AP194" s="60">
        <v>0.06</v>
      </c>
      <c r="AQ194" s="60">
        <v>0</v>
      </c>
      <c r="AR194" s="60" t="s">
        <v>132</v>
      </c>
      <c r="AS194" s="75" t="s">
        <v>282</v>
      </c>
      <c r="AT194" s="59">
        <f t="shared" si="191"/>
        <v>11.370000000000001</v>
      </c>
      <c r="AU194" s="59">
        <f t="shared" si="192"/>
        <v>0</v>
      </c>
      <c r="AV194" s="72">
        <f>IF(C194="",0,(0.5*(_ML1*LPM)+0.5*(_ML1*HB)+0.66*(P*PR)+0.66*(_ML2*RDM)+0.66*(E*ER))*VLOOKUP(BATT,'Look Ups'!$N$3:$O$4,2,0))</f>
        <v>43.297994599999996</v>
      </c>
      <c r="AW194" s="73"/>
      <c r="AX194" s="74"/>
      <c r="AY194" s="71">
        <v>10.77</v>
      </c>
      <c r="AZ194" s="60">
        <v>4.5120000000000005</v>
      </c>
      <c r="BA194" s="60">
        <v>5.03</v>
      </c>
      <c r="BB194" s="60">
        <v>0.14499999999999999</v>
      </c>
      <c r="BC194" s="60">
        <v>9.57</v>
      </c>
      <c r="BD194" s="60"/>
      <c r="BE194" s="60"/>
      <c r="BF194" s="60">
        <v>-0.15</v>
      </c>
      <c r="BG194" s="60">
        <v>0.04</v>
      </c>
      <c r="BH194" s="75" t="s">
        <v>282</v>
      </c>
      <c r="BI194" s="72">
        <f t="shared" si="193"/>
        <v>24.115389</v>
      </c>
      <c r="BJ194" s="76"/>
      <c r="BK194" s="77"/>
      <c r="BL194" s="78"/>
      <c r="BM194" s="78"/>
      <c r="BN194" s="77"/>
      <c r="BO194" s="78"/>
      <c r="BP194" s="78"/>
      <c r="BQ194" s="79">
        <f t="shared" si="194"/>
        <v>0</v>
      </c>
      <c r="BR194" s="80"/>
      <c r="BS194" s="77"/>
      <c r="BT194" s="77"/>
      <c r="BU194" s="77"/>
      <c r="BV194" s="77"/>
      <c r="BW194" s="77"/>
      <c r="BX194" s="77"/>
      <c r="BY194" s="72">
        <f t="shared" si="195"/>
        <v>0</v>
      </c>
      <c r="BZ194" s="73">
        <v>8.6999999999999993</v>
      </c>
      <c r="CA194" s="60">
        <v>14.35</v>
      </c>
      <c r="CB194" s="60">
        <v>13.35</v>
      </c>
      <c r="CC194" s="60">
        <v>7.87</v>
      </c>
      <c r="CD194" s="65">
        <f t="shared" si="196"/>
        <v>90.459770114942543</v>
      </c>
      <c r="CE194" s="60"/>
      <c r="CF194" s="79">
        <f t="shared" si="197"/>
        <v>92.748833333333323</v>
      </c>
      <c r="CG194" s="71"/>
      <c r="CH194" s="60"/>
      <c r="CI194" s="60"/>
      <c r="CJ194" s="60"/>
      <c r="CK194" s="59" t="str">
        <f t="shared" si="214"/>
        <v/>
      </c>
      <c r="CL194" s="75"/>
      <c r="CM194" s="72">
        <f t="shared" si="198"/>
        <v>0</v>
      </c>
      <c r="CN194" s="81">
        <f t="shared" si="199"/>
        <v>1</v>
      </c>
      <c r="CO194" s="59">
        <f t="shared" si="200"/>
        <v>43.297994599999996</v>
      </c>
      <c r="CP194" s="59">
        <f t="shared" si="201"/>
        <v>1</v>
      </c>
      <c r="CQ194" s="59">
        <f t="shared" si="202"/>
        <v>24.115389</v>
      </c>
      <c r="CR194" s="59">
        <f>IF(AV194&gt;0,'Look Ups'!$L$3,0)</f>
        <v>1</v>
      </c>
      <c r="CS194" s="59">
        <f t="shared" si="203"/>
        <v>0</v>
      </c>
      <c r="CT194" s="59">
        <f t="shared" si="215"/>
        <v>0</v>
      </c>
      <c r="CU194" s="59">
        <f t="shared" si="216"/>
        <v>0</v>
      </c>
      <c r="CV194" s="79">
        <f t="shared" si="217"/>
        <v>0</v>
      </c>
      <c r="CW194" s="82" t="str">
        <f t="shared" si="204"/>
        <v>-</v>
      </c>
      <c r="CX194" s="65" t="str">
        <f t="shared" si="205"/>
        <v>valid</v>
      </c>
      <c r="CY194" s="66" t="str">
        <f t="shared" si="206"/>
        <v>MGSp</v>
      </c>
      <c r="CZ194" s="81">
        <f t="shared" si="207"/>
        <v>67.413383600000003</v>
      </c>
      <c r="DA194" s="59">
        <f t="shared" si="208"/>
        <v>20.590033299999998</v>
      </c>
      <c r="DB194" s="59">
        <f t="shared" si="209"/>
        <v>0</v>
      </c>
      <c r="DC194" s="59">
        <f t="shared" si="210"/>
        <v>20.24686607833333</v>
      </c>
      <c r="DD194" s="59">
        <f t="shared" si="211"/>
        <v>0</v>
      </c>
      <c r="DE194" s="79">
        <f t="shared" si="212"/>
        <v>69.485105004800005</v>
      </c>
      <c r="DF194" s="83">
        <f t="shared" si="213"/>
        <v>88.003416900000005</v>
      </c>
    </row>
    <row r="195" spans="2:111" ht="16.5" customHeight="1" x14ac:dyDescent="0.25">
      <c r="B195" s="47"/>
      <c r="C195" s="168" t="s">
        <v>647</v>
      </c>
      <c r="D195" s="184" t="s">
        <v>648</v>
      </c>
      <c r="E195" s="170" t="s">
        <v>649</v>
      </c>
      <c r="F195" s="50">
        <f t="shared" si="151"/>
        <v>0.93924811418840115</v>
      </c>
      <c r="G195" s="50" t="str">
        <f t="shared" ca="1" si="185"/>
        <v>No</v>
      </c>
      <c r="H195" s="51" t="str">
        <f t="shared" si="186"/>
        <v>Main - Genoa - Spinnaker</v>
      </c>
      <c r="I195" s="171">
        <v>38731</v>
      </c>
      <c r="J195" s="171">
        <v>38970</v>
      </c>
      <c r="K195" s="172" t="s">
        <v>418</v>
      </c>
      <c r="L195" s="172" t="s">
        <v>236</v>
      </c>
      <c r="M195" s="171"/>
      <c r="N195" s="87" t="s">
        <v>575</v>
      </c>
      <c r="O195" s="87"/>
      <c r="P195" s="185"/>
      <c r="Q195" s="175">
        <v>8.08</v>
      </c>
      <c r="R195" s="78"/>
      <c r="S195" s="59">
        <f t="shared" si="187"/>
        <v>0.20200000000000001</v>
      </c>
      <c r="T195" s="176">
        <v>0.08</v>
      </c>
      <c r="U195" s="176">
        <v>0</v>
      </c>
      <c r="V195" s="61">
        <f t="shared" si="188"/>
        <v>8</v>
      </c>
      <c r="W195" s="62">
        <f>IF(RL&gt;0,IF(RL&gt;'Look Ups'!R$7,'Look Ups'!R$8,('Look Ups'!R$3*RL^3+'Look Ups'!R$4*RL^2+'Look Ups'!R$5*RL+'Look Ups'!R$6)),0)</f>
        <v>0.293796</v>
      </c>
      <c r="X195" s="177">
        <f>945-10</f>
        <v>935</v>
      </c>
      <c r="Y195" s="178"/>
      <c r="Z195" s="178"/>
      <c r="AA195" s="178"/>
      <c r="AB195" s="65">
        <f t="shared" si="189"/>
        <v>935</v>
      </c>
      <c r="AC195" s="66">
        <f t="shared" si="190"/>
        <v>935</v>
      </c>
      <c r="AD195" s="179" t="s">
        <v>129</v>
      </c>
      <c r="AE195" s="180" t="s">
        <v>130</v>
      </c>
      <c r="AF195" s="181" t="s">
        <v>131</v>
      </c>
      <c r="AG195" s="70">
        <f>IF(C195="",0,VLOOKUP(AD195,'Look Ups'!$B$3:$C$6,2,0)*VLOOKUP(AE195,'Look Ups'!$E$3:$F$5,2,0)*VLOOKUP(AF195,'Look Ups'!$H$3:$I$7,2,0))</f>
        <v>1</v>
      </c>
      <c r="AH195" s="80">
        <v>9.8699999999999992</v>
      </c>
      <c r="AI195" s="77">
        <v>9.6</v>
      </c>
      <c r="AJ195" s="77">
        <v>3.0950000000000002</v>
      </c>
      <c r="AK195" s="77">
        <v>0.94</v>
      </c>
      <c r="AL195" s="77">
        <v>1.0900000000000001</v>
      </c>
      <c r="AM195" s="77">
        <v>9.6</v>
      </c>
      <c r="AN195" s="77">
        <v>0</v>
      </c>
      <c r="AO195" s="77">
        <v>3.19</v>
      </c>
      <c r="AP195" s="77">
        <v>0.03</v>
      </c>
      <c r="AQ195" s="77">
        <v>0.47</v>
      </c>
      <c r="AR195" s="77" t="s">
        <v>132</v>
      </c>
      <c r="AS195" s="87">
        <v>0</v>
      </c>
      <c r="AT195" s="59">
        <f t="shared" si="191"/>
        <v>9.629999999999999</v>
      </c>
      <c r="AU195" s="59">
        <f t="shared" si="192"/>
        <v>1.6919999999999997</v>
      </c>
      <c r="AV195" s="72">
        <f>IF(C195="",0,(0.5*(_ML1*LPM)+0.5*(_ML1*HB)+0.66*(P*PR)+0.66*(_ML2*RDM)+0.66*(E*ER))*VLOOKUP(BATT,'Look Ups'!$N$3:$O$4,2,0))</f>
        <v>26.882127000000001</v>
      </c>
      <c r="AW195" s="182"/>
      <c r="AX195" s="183"/>
      <c r="AY195" s="80">
        <v>8.26</v>
      </c>
      <c r="AZ195" s="77">
        <v>3.81</v>
      </c>
      <c r="BA195" s="77">
        <v>4.1100000000000003</v>
      </c>
      <c r="BB195" s="77">
        <v>0.12</v>
      </c>
      <c r="BC195" s="77">
        <v>7.7</v>
      </c>
      <c r="BD195" s="77"/>
      <c r="BE195" s="77"/>
      <c r="BF195" s="77">
        <v>-0.1</v>
      </c>
      <c r="BG195" s="77">
        <v>-0.08</v>
      </c>
      <c r="BH195" s="87">
        <v>0</v>
      </c>
      <c r="BI195" s="72">
        <f t="shared" si="193"/>
        <v>15.116484</v>
      </c>
      <c r="BJ195" s="76"/>
      <c r="BK195" s="77"/>
      <c r="BL195" s="78"/>
      <c r="BM195" s="78"/>
      <c r="BN195" s="77"/>
      <c r="BO195" s="78"/>
      <c r="BP195" s="78"/>
      <c r="BQ195" s="79">
        <f t="shared" si="194"/>
        <v>0</v>
      </c>
      <c r="BR195" s="80"/>
      <c r="BS195" s="77"/>
      <c r="BT195" s="77"/>
      <c r="BU195" s="77"/>
      <c r="BV195" s="77"/>
      <c r="BW195" s="77"/>
      <c r="BX195" s="77"/>
      <c r="BY195" s="72">
        <f t="shared" si="195"/>
        <v>0</v>
      </c>
      <c r="BZ195" s="182">
        <v>6.34</v>
      </c>
      <c r="CA195" s="77">
        <v>12.03</v>
      </c>
      <c r="CB195" s="77">
        <v>11.23</v>
      </c>
      <c r="CC195" s="77">
        <v>6.39</v>
      </c>
      <c r="CD195" s="65">
        <f t="shared" si="196"/>
        <v>100.78864353312302</v>
      </c>
      <c r="CE195" s="87">
        <v>0</v>
      </c>
      <c r="CF195" s="79">
        <f t="shared" si="197"/>
        <v>61.832833333333326</v>
      </c>
      <c r="CG195" s="80"/>
      <c r="CH195" s="77">
        <v>0</v>
      </c>
      <c r="CI195" s="77">
        <v>0</v>
      </c>
      <c r="CJ195" s="77">
        <v>0</v>
      </c>
      <c r="CK195" s="59" t="str">
        <f t="shared" si="214"/>
        <v/>
      </c>
      <c r="CL195" s="87">
        <v>0</v>
      </c>
      <c r="CM195" s="72">
        <f t="shared" si="198"/>
        <v>0</v>
      </c>
      <c r="CN195" s="81">
        <f t="shared" si="199"/>
        <v>1</v>
      </c>
      <c r="CO195" s="59">
        <f t="shared" si="200"/>
        <v>28.574127000000004</v>
      </c>
      <c r="CP195" s="59">
        <f t="shared" si="201"/>
        <v>1</v>
      </c>
      <c r="CQ195" s="59">
        <f t="shared" si="202"/>
        <v>15.116484</v>
      </c>
      <c r="CR195" s="59">
        <f>IF(AV195&gt;0,'Look Ups'!$L$3,0)</f>
        <v>1</v>
      </c>
      <c r="CS195" s="59">
        <f t="shared" si="203"/>
        <v>0</v>
      </c>
      <c r="CT195" s="59">
        <f t="shared" si="215"/>
        <v>0</v>
      </c>
      <c r="CU195" s="59">
        <f t="shared" si="216"/>
        <v>0</v>
      </c>
      <c r="CV195" s="79">
        <f t="shared" si="217"/>
        <v>0</v>
      </c>
      <c r="CW195" s="82" t="str">
        <f t="shared" si="204"/>
        <v>-</v>
      </c>
      <c r="CX195" s="65" t="str">
        <f t="shared" si="205"/>
        <v>valid</v>
      </c>
      <c r="CY195" s="66" t="str">
        <f t="shared" si="206"/>
        <v>MGSp</v>
      </c>
      <c r="CZ195" s="81">
        <f t="shared" si="207"/>
        <v>43.690611000000004</v>
      </c>
      <c r="DA195" s="59">
        <f t="shared" si="208"/>
        <v>14.014904799999998</v>
      </c>
      <c r="DB195" s="59">
        <f t="shared" si="209"/>
        <v>0</v>
      </c>
      <c r="DC195" s="59">
        <f t="shared" si="210"/>
        <v>13.781323053333331</v>
      </c>
      <c r="DD195" s="59">
        <f t="shared" si="211"/>
        <v>0</v>
      </c>
      <c r="DE195" s="79">
        <f t="shared" si="212"/>
        <v>45.144036444000008</v>
      </c>
      <c r="DF195" s="83">
        <f t="shared" si="213"/>
        <v>57.705515800000001</v>
      </c>
    </row>
    <row r="196" spans="2:111" ht="16.5" customHeight="1" x14ac:dyDescent="0.25">
      <c r="B196" s="168"/>
      <c r="C196" s="47" t="s">
        <v>283</v>
      </c>
      <c r="D196" s="48" t="s">
        <v>284</v>
      </c>
      <c r="E196" s="49" t="s">
        <v>285</v>
      </c>
      <c r="F196" s="50">
        <f t="shared" si="151"/>
        <v>0.71455086204224838</v>
      </c>
      <c r="G196" s="50" t="str">
        <f t="shared" ca="1" si="185"/>
        <v>Yes</v>
      </c>
      <c r="H196" s="51" t="str">
        <f t="shared" si="186"/>
        <v>Main - Genoa - Spinnaker</v>
      </c>
      <c r="I196" s="52">
        <v>41959</v>
      </c>
      <c r="J196" s="52">
        <v>41959</v>
      </c>
      <c r="K196" s="53" t="s">
        <v>137</v>
      </c>
      <c r="L196" s="53" t="s">
        <v>137</v>
      </c>
      <c r="M196" s="54"/>
      <c r="N196" s="75" t="s">
        <v>127</v>
      </c>
      <c r="O196" s="55" t="s">
        <v>128</v>
      </c>
      <c r="P196" s="56">
        <v>4.5</v>
      </c>
      <c r="Q196" s="57">
        <v>5.97</v>
      </c>
      <c r="R196" s="58"/>
      <c r="S196" s="59">
        <f t="shared" si="187"/>
        <v>0.14924999999999999</v>
      </c>
      <c r="T196" s="60">
        <v>0.31</v>
      </c>
      <c r="U196" s="60">
        <v>0</v>
      </c>
      <c r="V196" s="61">
        <f t="shared" si="188"/>
        <v>5.66</v>
      </c>
      <c r="W196" s="62">
        <f>IF(RL&gt;0,IF(RL&gt;'Look Ups'!R$7,'Look Ups'!R$8,('Look Ups'!R$3*RL^3+'Look Ups'!R$4*RL^2+'Look Ups'!R$5*RL+'Look Ups'!R$6)),0)</f>
        <v>0.28200376936799998</v>
      </c>
      <c r="X196" s="63">
        <v>830</v>
      </c>
      <c r="Y196" s="64"/>
      <c r="Z196" s="64"/>
      <c r="AA196" s="64"/>
      <c r="AB196" s="65">
        <f t="shared" si="189"/>
        <v>830</v>
      </c>
      <c r="AC196" s="66">
        <f t="shared" si="190"/>
        <v>830</v>
      </c>
      <c r="AD196" s="67" t="s">
        <v>154</v>
      </c>
      <c r="AE196" s="68" t="s">
        <v>130</v>
      </c>
      <c r="AF196" s="69" t="s">
        <v>131</v>
      </c>
      <c r="AG196" s="70">
        <f>IF(C196="",0,VLOOKUP(AD196,'Look Ups'!$B$3:$C$6,2,0)*VLOOKUP(AE196,'Look Ups'!$E$3:$F$5,2,0)*VLOOKUP(AF196,'Look Ups'!$H$3:$I$7,2,0))</f>
        <v>0.99</v>
      </c>
      <c r="AH196" s="71">
        <v>7.45</v>
      </c>
      <c r="AI196" s="60">
        <v>7.38</v>
      </c>
      <c r="AJ196" s="60">
        <v>2.25</v>
      </c>
      <c r="AK196" s="60">
        <v>1.0449999999999999</v>
      </c>
      <c r="AL196" s="60">
        <v>0.32500000000000001</v>
      </c>
      <c r="AM196" s="60">
        <v>7.21</v>
      </c>
      <c r="AN196" s="60">
        <v>0</v>
      </c>
      <c r="AO196" s="60">
        <v>2.4500000000000002</v>
      </c>
      <c r="AP196" s="60">
        <v>0.01</v>
      </c>
      <c r="AQ196" s="60">
        <v>0</v>
      </c>
      <c r="AR196" s="60" t="s">
        <v>132</v>
      </c>
      <c r="AS196" s="75">
        <v>0</v>
      </c>
      <c r="AT196" s="59">
        <f t="shared" si="191"/>
        <v>7.22</v>
      </c>
      <c r="AU196" s="59">
        <f t="shared" si="192"/>
        <v>0</v>
      </c>
      <c r="AV196" s="72">
        <f>IF(C196="",0,(0.5*(_ML1*LPM)+0.5*(_ML1*HB)+0.66*(P*PR)+0.66*(_ML2*RDM)+0.66*(E*ER))*VLOOKUP(BATT,'Look Ups'!$N$3:$O$4,2,0))</f>
        <v>13.873055000000001</v>
      </c>
      <c r="AW196" s="73"/>
      <c r="AX196" s="74"/>
      <c r="AY196" s="71">
        <v>7</v>
      </c>
      <c r="AZ196" s="60">
        <v>3.8</v>
      </c>
      <c r="BA196" s="60">
        <v>4.4000000000000004</v>
      </c>
      <c r="BB196" s="60">
        <v>0.12</v>
      </c>
      <c r="BC196" s="60">
        <v>6</v>
      </c>
      <c r="BD196" s="60"/>
      <c r="BE196" s="60"/>
      <c r="BF196" s="60">
        <v>0.05</v>
      </c>
      <c r="BG196" s="60">
        <v>0</v>
      </c>
      <c r="BH196" s="75"/>
      <c r="BI196" s="72">
        <f t="shared" si="193"/>
        <v>13.84648</v>
      </c>
      <c r="BJ196" s="76"/>
      <c r="BK196" s="77"/>
      <c r="BL196" s="78"/>
      <c r="BM196" s="78"/>
      <c r="BN196" s="77"/>
      <c r="BO196" s="78"/>
      <c r="BP196" s="78"/>
      <c r="BQ196" s="79">
        <f t="shared" si="194"/>
        <v>0</v>
      </c>
      <c r="BR196" s="80"/>
      <c r="BS196" s="77"/>
      <c r="BT196" s="77"/>
      <c r="BU196" s="77"/>
      <c r="BV196" s="77"/>
      <c r="BW196" s="77"/>
      <c r="BX196" s="77"/>
      <c r="BY196" s="72">
        <f t="shared" si="195"/>
        <v>0</v>
      </c>
      <c r="BZ196" s="73">
        <v>7</v>
      </c>
      <c r="CA196" s="60">
        <v>10.25</v>
      </c>
      <c r="CB196" s="60">
        <v>8.65</v>
      </c>
      <c r="CC196" s="60">
        <v>5.25</v>
      </c>
      <c r="CD196" s="65">
        <f t="shared" si="196"/>
        <v>75</v>
      </c>
      <c r="CE196" s="60">
        <v>0</v>
      </c>
      <c r="CF196" s="79">
        <f t="shared" si="197"/>
        <v>44.099999999999994</v>
      </c>
      <c r="CG196" s="71"/>
      <c r="CH196" s="60"/>
      <c r="CI196" s="60"/>
      <c r="CJ196" s="60"/>
      <c r="CK196" s="59" t="str">
        <f t="shared" si="214"/>
        <v/>
      </c>
      <c r="CL196" s="60">
        <v>0</v>
      </c>
      <c r="CM196" s="72">
        <f t="shared" si="198"/>
        <v>0</v>
      </c>
      <c r="CN196" s="81">
        <f t="shared" si="199"/>
        <v>1</v>
      </c>
      <c r="CO196" s="59">
        <f t="shared" si="200"/>
        <v>13.873055000000001</v>
      </c>
      <c r="CP196" s="59">
        <f t="shared" si="201"/>
        <v>1</v>
      </c>
      <c r="CQ196" s="59">
        <f t="shared" si="202"/>
        <v>13.84648</v>
      </c>
      <c r="CR196" s="59">
        <f>IF(AV196&gt;0,'Look Ups'!$L$3,0)</f>
        <v>1</v>
      </c>
      <c r="CS196" s="59">
        <f t="shared" si="203"/>
        <v>0</v>
      </c>
      <c r="CT196" s="59">
        <f t="shared" si="215"/>
        <v>0</v>
      </c>
      <c r="CU196" s="59">
        <f t="shared" si="216"/>
        <v>0</v>
      </c>
      <c r="CV196" s="79">
        <f t="shared" si="217"/>
        <v>0</v>
      </c>
      <c r="CW196" s="82" t="str">
        <f t="shared" si="204"/>
        <v>-</v>
      </c>
      <c r="CX196" s="65" t="str">
        <f t="shared" si="205"/>
        <v>valid</v>
      </c>
      <c r="CY196" s="66" t="str">
        <f t="shared" si="206"/>
        <v>MGSp</v>
      </c>
      <c r="CZ196" s="81">
        <f t="shared" si="207"/>
        <v>27.719535</v>
      </c>
      <c r="DA196" s="59">
        <f t="shared" si="208"/>
        <v>9.0760559999999977</v>
      </c>
      <c r="DB196" s="59">
        <f t="shared" si="209"/>
        <v>0</v>
      </c>
      <c r="DC196" s="59">
        <f t="shared" si="210"/>
        <v>8.9247883999999971</v>
      </c>
      <c r="DD196" s="59">
        <f t="shared" si="211"/>
        <v>0</v>
      </c>
      <c r="DE196" s="79">
        <f t="shared" si="212"/>
        <v>27.7224051</v>
      </c>
      <c r="DF196" s="83">
        <f t="shared" si="213"/>
        <v>36.795591000000002</v>
      </c>
    </row>
    <row r="197" spans="2:111" ht="16.5" customHeight="1" x14ac:dyDescent="0.25">
      <c r="B197" s="47"/>
      <c r="C197" s="168" t="s">
        <v>650</v>
      </c>
      <c r="D197" s="184" t="s">
        <v>547</v>
      </c>
      <c r="E197" s="170" t="s">
        <v>651</v>
      </c>
      <c r="F197" s="50">
        <f t="shared" si="151"/>
        <v>0.90886838705167439</v>
      </c>
      <c r="G197" s="50" t="str">
        <f t="shared" ca="1" si="185"/>
        <v>No</v>
      </c>
      <c r="H197" s="51" t="str">
        <f t="shared" si="186"/>
        <v>Main - Genoa - Spinnaker</v>
      </c>
      <c r="I197" s="171">
        <v>40017</v>
      </c>
      <c r="J197" s="171">
        <v>40842</v>
      </c>
      <c r="K197" s="172" t="s">
        <v>205</v>
      </c>
      <c r="L197" s="172" t="s">
        <v>126</v>
      </c>
      <c r="M197" s="171"/>
      <c r="N197" s="87" t="s">
        <v>537</v>
      </c>
      <c r="O197" s="87"/>
      <c r="P197" s="185"/>
      <c r="Q197" s="175">
        <v>9.5299999999999994</v>
      </c>
      <c r="R197" s="78"/>
      <c r="S197" s="59">
        <f t="shared" ref="S197:S226" si="218">IF((LOAA&gt;LOA),0.025*LOAA,0.025*LOA)</f>
        <v>0.23824999999999999</v>
      </c>
      <c r="T197" s="176">
        <v>0.06</v>
      </c>
      <c r="U197" s="176"/>
      <c r="V197" s="61">
        <f t="shared" ref="V197:V226" si="219">IF((LOAA&gt;LOA),LOAA,LOA-FOC-AOC)</f>
        <v>9.4699999999999989</v>
      </c>
      <c r="W197" s="62">
        <f>IF(RL&gt;0,IF(RL&gt;'Look Ups'!R$7,'Look Ups'!R$8,('Look Ups'!R$3*RL^3+'Look Ups'!R$4*RL^2+'Look Ups'!R$5*RL+'Look Ups'!R$6)),0)</f>
        <v>0.29763791805899997</v>
      </c>
      <c r="X197" s="177">
        <v>1865</v>
      </c>
      <c r="Y197" s="178"/>
      <c r="Z197" s="178"/>
      <c r="AA197" s="178"/>
      <c r="AB197" s="65">
        <f t="shared" ref="AB197:AB226" si="220">WM+WE</f>
        <v>1865</v>
      </c>
      <c r="AC197" s="66">
        <f t="shared" ref="AC197:AC226" si="221">WS+WCD+4*NC</f>
        <v>1865</v>
      </c>
      <c r="AD197" s="179" t="s">
        <v>129</v>
      </c>
      <c r="AE197" s="180" t="s">
        <v>130</v>
      </c>
      <c r="AF197" s="181" t="s">
        <v>131</v>
      </c>
      <c r="AG197" s="70">
        <f>IF(C197="",0,VLOOKUP(AD197,'Look Ups'!$B$3:$C$6,2,0)*VLOOKUP(AE197,'Look Ups'!$E$3:$F$5,2,0)*VLOOKUP(AF197,'Look Ups'!$H$3:$I$7,2,0))</f>
        <v>1</v>
      </c>
      <c r="AH197" s="80">
        <v>12.41</v>
      </c>
      <c r="AI197" s="77">
        <v>12.05</v>
      </c>
      <c r="AJ197" s="77">
        <v>4.05</v>
      </c>
      <c r="AK197" s="77">
        <v>1.32</v>
      </c>
      <c r="AL197" s="77">
        <v>0.46</v>
      </c>
      <c r="AM197" s="77">
        <v>11.97</v>
      </c>
      <c r="AN197" s="77">
        <v>0.16</v>
      </c>
      <c r="AO197" s="77">
        <v>4.22</v>
      </c>
      <c r="AP197" s="77">
        <v>0.04</v>
      </c>
      <c r="AQ197" s="77">
        <v>0.63500000000000001</v>
      </c>
      <c r="AR197" s="77" t="s">
        <v>132</v>
      </c>
      <c r="AS197" s="87"/>
      <c r="AT197" s="59">
        <f t="shared" ref="AT197:AT226" si="222">P+ER</f>
        <v>12.01</v>
      </c>
      <c r="AU197" s="59">
        <f t="shared" ref="AU197:AU226" si="223">P*0.375*MC</f>
        <v>2.8503562500000004</v>
      </c>
      <c r="AV197" s="72">
        <f>IF(C197="",0,(0.5*(_ML1*LPM)+0.5*(_ML1*HB)+0.66*(P*PR)+0.66*(_ML2*RDM)+0.66*(E*ER))*VLOOKUP(BATT,'Look Ups'!$N$3:$O$4,2,0))</f>
        <v>38.354669999999999</v>
      </c>
      <c r="AW197" s="182"/>
      <c r="AX197" s="183"/>
      <c r="AY197" s="80">
        <v>10.82</v>
      </c>
      <c r="AZ197" s="77">
        <v>3.57</v>
      </c>
      <c r="BA197" s="77">
        <v>4.03</v>
      </c>
      <c r="BB197" s="77">
        <v>0.17</v>
      </c>
      <c r="BC197" s="77">
        <v>9.69</v>
      </c>
      <c r="BD197" s="77"/>
      <c r="BE197" s="77"/>
      <c r="BF197" s="77">
        <v>-7.0000000000000007E-2</v>
      </c>
      <c r="BG197" s="77">
        <v>0.05</v>
      </c>
      <c r="BH197" s="87"/>
      <c r="BI197" s="72">
        <f t="shared" ref="BI197:BI226" si="224">(0.5*LL*LPG)+(0.5*_LG1*HG)+(0.66*LL*LLRG)+(0.66*FG*FRG)+(IF((HG&gt;0),(0.66*_LG2*LRG),(0.66*_LG1*LRG)))</f>
        <v>19.675248</v>
      </c>
      <c r="BJ197" s="76"/>
      <c r="BK197" s="77"/>
      <c r="BL197" s="78"/>
      <c r="BM197" s="78"/>
      <c r="BN197" s="77"/>
      <c r="BO197" s="78"/>
      <c r="BP197" s="78"/>
      <c r="BQ197" s="79">
        <f t="shared" ref="BQ197:BQ226" si="225">(0.5*LLS*LPS)+(0.66*LLS*LLRS)+(0.66*LS*LRS)+(0.66*FS*FRS)</f>
        <v>0</v>
      </c>
      <c r="BR197" s="80"/>
      <c r="BS197" s="77"/>
      <c r="BT197" s="77"/>
      <c r="BU197" s="77"/>
      <c r="BV197" s="77"/>
      <c r="BW197" s="77"/>
      <c r="BX197" s="77"/>
      <c r="BY197" s="72">
        <f t="shared" ref="BY197:BY226" si="226">(0.5*LLD*LPD)+(0.66*LLD*LLRD)+(0.66*LCHD*LRD)+(0.66*FD*FRD)</f>
        <v>0</v>
      </c>
      <c r="BZ197" s="182">
        <v>8.6199999999999992</v>
      </c>
      <c r="CA197" s="77">
        <v>13.84</v>
      </c>
      <c r="CB197" s="77">
        <v>11.08</v>
      </c>
      <c r="CC197" s="77">
        <v>8.1</v>
      </c>
      <c r="CD197" s="65">
        <f t="shared" ref="CD197:CD226" si="227">IF(SF&gt;0,SMG/SF*100,"")</f>
        <v>93.967517401392115</v>
      </c>
      <c r="CE197" s="87"/>
      <c r="CF197" s="79">
        <f t="shared" ref="CF197:CF226" si="228">SF*(_SL1+_SL2)/4+(SMG-SF/2)*(_SL1+_SL2)/3</f>
        <v>85.184866666666665</v>
      </c>
      <c r="CG197" s="80"/>
      <c r="CH197" s="77"/>
      <c r="CI197" s="77"/>
      <c r="CJ197" s="77"/>
      <c r="CK197" s="59" t="str">
        <f t="shared" si="214"/>
        <v/>
      </c>
      <c r="CL197" s="87"/>
      <c r="CM197" s="72">
        <f t="shared" ref="CM197:CM226" si="229">SCRF*(ScrL1+ScrL2)/4+(ScrMG-SCRF/2)*(ScrL1+ScrL2)/3</f>
        <v>0</v>
      </c>
      <c r="CN197" s="81">
        <f t="shared" ref="CN197:CN226" si="230">IF(ZVAL=1,1,IF(LPM&gt;0,0.64*((AM+MAM)/(E+(MC/2))^2)^0.3,0))</f>
        <v>1</v>
      </c>
      <c r="CO197" s="59">
        <f t="shared" ref="CO197:CO226" si="231">0.65*((AM+MAM)*EFM)+0.35*((AM+MAM)*ZVAL)</f>
        <v>41.205026249999996</v>
      </c>
      <c r="CP197" s="59">
        <f t="shared" ref="CP197:CP226" si="232">IF(ZVAL=1,1,IF(LPG&gt;0,0.72*(AG/(LPG^2))^0.3,0))</f>
        <v>1</v>
      </c>
      <c r="CQ197" s="59">
        <f t="shared" ref="CQ197:CQ226" si="233">AG*EFG</f>
        <v>19.675248</v>
      </c>
      <c r="CR197" s="59">
        <f>IF(AV197&gt;0,'Look Ups'!$L$3,0)</f>
        <v>1</v>
      </c>
      <c r="CS197" s="59">
        <f t="shared" ref="CS197:CS226" si="234">IF(LPS&gt;0,0.72*(AS/(LPS^2))^0.3,0)</f>
        <v>0</v>
      </c>
      <c r="CT197" s="59">
        <f t="shared" si="215"/>
        <v>0</v>
      </c>
      <c r="CU197" s="59">
        <f t="shared" si="216"/>
        <v>0</v>
      </c>
      <c r="CV197" s="79">
        <f t="shared" si="217"/>
        <v>0</v>
      </c>
      <c r="CW197" s="82" t="str">
        <f t="shared" ref="CW197:CW226" si="235">IF((SCRF=0),"-",IF(AND(MSASC&gt;AG,ScrMG&gt;=(0.5*SCRF),ScrMG&lt;(0.75*SCRF)),"valid","ERROR"))</f>
        <v>-</v>
      </c>
      <c r="CX197" s="65" t="str">
        <f t="shared" ref="CX197:CX226" si="236">IF((SF=0),"-",IF((SMG&lt;(0.75*SF)),"ERROR",IF(AND(MSASP&gt;MSASC,MSASP&gt;AG,MSASP&gt;=0.36*RSAM),"valid",0)))</f>
        <v>valid</v>
      </c>
      <c r="CY197" s="66" t="str">
        <f t="shared" si="206"/>
        <v>MGSp</v>
      </c>
      <c r="CZ197" s="81">
        <f t="shared" ref="CZ197:CZ226" si="237">RSAM+RSAG</f>
        <v>60.880274249999999</v>
      </c>
      <c r="DA197" s="59">
        <f t="shared" ref="DA197:DA226" si="238">IF(MSASP&gt;0,0.3*(ZVAL*MSASP-RSAG),0)</f>
        <v>19.652885600000001</v>
      </c>
      <c r="DB197" s="59">
        <f t="shared" ref="DB197:DB226" si="239">IF(AND(MSASC&gt;0,(MSASC&gt;=0.36*RSAM)),(0.35*(ZVAL*MSASC-RSAG)),(0))</f>
        <v>0</v>
      </c>
      <c r="DC197" s="59">
        <f t="shared" ref="DC197:DC226" si="240">IF(MSASP&gt;0,0.295*(ZVAL*MSASP-RSAG),0)</f>
        <v>19.325337506666667</v>
      </c>
      <c r="DD197" s="59">
        <f t="shared" ref="DD197:DD226" si="241">IF(MSASC&gt;0,0.055*(MSASC-RSAG),0)</f>
        <v>0</v>
      </c>
      <c r="DE197" s="79">
        <f t="shared" ref="DE197:DE226" si="242">RSAMG+(ZVAL*0.3*0.36*(RSAM-RSAG))</f>
        <v>63.205490300999998</v>
      </c>
      <c r="DF197" s="83">
        <f t="shared" ref="DF197:DF226" si="243">IF(CY197="MG",DE197,IF(CY197="MGScr",RAMG+RASCO,IF(CY197="MGSp",RAMG+RASPO,IF(CY197="MGScrSp",RAMG+RASPSC+RASCR,0))))+RSAST+RSAD+RSAMZ+RSA2M</f>
        <v>80.533159850000004</v>
      </c>
    </row>
    <row r="198" spans="2:111" ht="16.5" customHeight="1" x14ac:dyDescent="0.25">
      <c r="B198" s="168"/>
      <c r="C198" s="168" t="s">
        <v>652</v>
      </c>
      <c r="D198" s="184" t="s">
        <v>264</v>
      </c>
      <c r="E198" s="170" t="s">
        <v>190</v>
      </c>
      <c r="F198" s="50">
        <f t="shared" ref="F198:F260" si="244">IF(RW=0,0,DLF*(0.93*RL^LF*RSA^0.4/RW^0.325))</f>
        <v>0.95896116960679123</v>
      </c>
      <c r="G198" s="50" t="str">
        <f t="shared" ref="G198:G228" ca="1" si="245">IF(F198&gt;0,IF(OR(TODAY()-3650&gt;I198,CW198="ERROR",CX198="ERROR"),"No","Yes"),0)</f>
        <v>No</v>
      </c>
      <c r="H198" s="51" t="str">
        <f t="shared" ref="H198:H228" si="246">IF(CY198="","",IF(CY198="MG","Main - Genoa",IF(CY198="MGScr","Main - Genoa - Screacher",IF(CY198="MGSp","Main - Genoa - Spinnaker",IF(CY198="MGScrSp","Main - Genoa - Screacher - Spinnaker","Invalid"))))&amp;IF(AS&gt;0," - Staysail ","")&amp;IF(AD&gt;0," - Drifter","")&amp;IF(RSAMZ&gt;0," - Mizzen","")&amp;IF(RSA2M&gt;0," - Bi-Rig",""))</f>
        <v>Main - Genoa - Spinnaker</v>
      </c>
      <c r="I198" s="171">
        <v>39927</v>
      </c>
      <c r="J198" s="171">
        <v>41029</v>
      </c>
      <c r="K198" s="172" t="s">
        <v>205</v>
      </c>
      <c r="L198" s="172" t="s">
        <v>137</v>
      </c>
      <c r="M198" s="171"/>
      <c r="N198" s="87" t="s">
        <v>149</v>
      </c>
      <c r="O198" s="87"/>
      <c r="P198" s="185"/>
      <c r="Q198" s="175">
        <v>8.52</v>
      </c>
      <c r="R198" s="78"/>
      <c r="S198" s="59">
        <f t="shared" si="218"/>
        <v>0.21299999999999999</v>
      </c>
      <c r="T198" s="176">
        <v>0.02</v>
      </c>
      <c r="U198" s="176"/>
      <c r="V198" s="61">
        <f t="shared" si="219"/>
        <v>8.5</v>
      </c>
      <c r="W198" s="62">
        <f>IF(RL&gt;0,IF(RL&gt;'Look Ups'!R$7,'Look Ups'!R$8,('Look Ups'!R$3*RL^3+'Look Ups'!R$4*RL^2+'Look Ups'!R$5*RL+'Look Ups'!R$6)),0)</f>
        <v>0.29536612500000003</v>
      </c>
      <c r="X198" s="177">
        <v>1140</v>
      </c>
      <c r="Y198" s="178"/>
      <c r="Z198" s="178"/>
      <c r="AA198" s="178"/>
      <c r="AB198" s="65">
        <f t="shared" si="220"/>
        <v>1140</v>
      </c>
      <c r="AC198" s="66">
        <f t="shared" si="221"/>
        <v>1140</v>
      </c>
      <c r="AD198" s="179" t="s">
        <v>129</v>
      </c>
      <c r="AE198" s="180" t="s">
        <v>130</v>
      </c>
      <c r="AF198" s="181" t="s">
        <v>131</v>
      </c>
      <c r="AG198" s="70">
        <f>IF(C198="",0,VLOOKUP(AD198,'Look Ups'!$B$3:$C$6,2,0)*VLOOKUP(AE198,'Look Ups'!$E$3:$F$5,2,0)*VLOOKUP(AF198,'Look Ups'!$H$3:$I$7,2,0))</f>
        <v>1</v>
      </c>
      <c r="AH198" s="80">
        <v>12.74</v>
      </c>
      <c r="AI198" s="77">
        <v>12.52</v>
      </c>
      <c r="AJ198" s="77">
        <v>3.84</v>
      </c>
      <c r="AK198" s="77">
        <v>1.2</v>
      </c>
      <c r="AL198" s="77">
        <v>0.5</v>
      </c>
      <c r="AM198" s="77">
        <v>12.57</v>
      </c>
      <c r="AN198" s="77">
        <v>0.21</v>
      </c>
      <c r="AO198" s="77">
        <v>3.9</v>
      </c>
      <c r="AP198" s="77">
        <v>0.09</v>
      </c>
      <c r="AQ198" s="77">
        <v>0.42</v>
      </c>
      <c r="AR198" s="77" t="s">
        <v>132</v>
      </c>
      <c r="AS198" s="87"/>
      <c r="AT198" s="59">
        <f t="shared" si="222"/>
        <v>12.66</v>
      </c>
      <c r="AU198" s="59">
        <f t="shared" si="223"/>
        <v>1.9797750000000001</v>
      </c>
      <c r="AV198" s="72">
        <f>IF(C198="",0,(0.5*(_ML1*LPM)+0.5*(_ML1*HB)+0.66*(P*PR)+0.66*(_ML2*RDM)+0.66*(E*ER))*VLOOKUP(BATT,'Look Ups'!$N$3:$O$4,2,0))</f>
        <v>38.210261999999993</v>
      </c>
      <c r="AW198" s="182"/>
      <c r="AX198" s="183"/>
      <c r="AY198" s="80">
        <v>8.44</v>
      </c>
      <c r="AZ198" s="77">
        <v>2.48</v>
      </c>
      <c r="BA198" s="77">
        <v>2.54</v>
      </c>
      <c r="BB198" s="77">
        <v>0.14000000000000001</v>
      </c>
      <c r="BC198" s="77">
        <v>8.06</v>
      </c>
      <c r="BD198" s="77">
        <v>8.06</v>
      </c>
      <c r="BE198" s="77">
        <v>0.48</v>
      </c>
      <c r="BF198" s="77">
        <v>0</v>
      </c>
      <c r="BG198" s="77">
        <v>0.04</v>
      </c>
      <c r="BH198" s="87"/>
      <c r="BI198" s="72">
        <f t="shared" si="224"/>
        <v>12.857511999999998</v>
      </c>
      <c r="BJ198" s="76"/>
      <c r="BK198" s="77"/>
      <c r="BL198" s="78"/>
      <c r="BM198" s="78"/>
      <c r="BN198" s="77"/>
      <c r="BO198" s="78"/>
      <c r="BP198" s="78"/>
      <c r="BQ198" s="79">
        <f t="shared" si="225"/>
        <v>0</v>
      </c>
      <c r="BR198" s="80"/>
      <c r="BS198" s="77"/>
      <c r="BT198" s="77"/>
      <c r="BU198" s="77"/>
      <c r="BV198" s="77"/>
      <c r="BW198" s="77"/>
      <c r="BX198" s="77"/>
      <c r="BY198" s="72">
        <f t="shared" si="226"/>
        <v>0</v>
      </c>
      <c r="BZ198" s="182">
        <v>6.95</v>
      </c>
      <c r="CA198" s="77">
        <v>14.1</v>
      </c>
      <c r="CB198" s="77">
        <v>12.46</v>
      </c>
      <c r="CC198" s="77">
        <v>5.24</v>
      </c>
      <c r="CD198" s="65">
        <f t="shared" si="227"/>
        <v>75.39568345323741</v>
      </c>
      <c r="CE198" s="87"/>
      <c r="CF198" s="79">
        <f t="shared" si="228"/>
        <v>61.774133333333339</v>
      </c>
      <c r="CG198" s="80"/>
      <c r="CH198" s="77"/>
      <c r="CI198" s="77"/>
      <c r="CJ198" s="77"/>
      <c r="CK198" s="59" t="str">
        <f t="shared" ref="CK198:CK227" si="247">IF(CG198&gt;0,CJ198/CG198*100,"")</f>
        <v/>
      </c>
      <c r="CL198" s="87"/>
      <c r="CM198" s="72">
        <f t="shared" si="229"/>
        <v>0</v>
      </c>
      <c r="CN198" s="81">
        <f t="shared" si="230"/>
        <v>1</v>
      </c>
      <c r="CO198" s="59">
        <f t="shared" si="231"/>
        <v>40.19003699999999</v>
      </c>
      <c r="CP198" s="59">
        <f t="shared" si="232"/>
        <v>1</v>
      </c>
      <c r="CQ198" s="59">
        <f t="shared" si="233"/>
        <v>12.857511999999998</v>
      </c>
      <c r="CR198" s="59">
        <f>IF(AV198&gt;0,'Look Ups'!$L$3,0)</f>
        <v>1</v>
      </c>
      <c r="CS198" s="59">
        <f t="shared" si="234"/>
        <v>0</v>
      </c>
      <c r="CT198" s="59">
        <f t="shared" ref="CT198:CT227" si="248">EFS*AS</f>
        <v>0</v>
      </c>
      <c r="CU198" s="59">
        <f t="shared" ref="CU198:CU227" si="249">IF(LPD&gt;0,0.72*(AD/(LPD^2))^0.3,0)</f>
        <v>0</v>
      </c>
      <c r="CV198" s="79">
        <f t="shared" ref="CV198:CV227" si="250">IF((AD-AG)&gt;0,0.3*(AD-AG)*EFD,0)</f>
        <v>0</v>
      </c>
      <c r="CW198" s="82" t="str">
        <f t="shared" si="235"/>
        <v>-</v>
      </c>
      <c r="CX198" s="65" t="str">
        <f t="shared" si="236"/>
        <v>valid</v>
      </c>
      <c r="CY198" s="66" t="str">
        <f t="shared" ref="CY198:CY228" si="251">IF(C198="","",IF(CW198="valid",IF(CX198="valid","MGScrSp","MGScr"),IF(CX198="valid","MGSp","MG")))</f>
        <v>MGSp</v>
      </c>
      <c r="CZ198" s="81">
        <f t="shared" si="237"/>
        <v>53.047548999999989</v>
      </c>
      <c r="DA198" s="59">
        <f t="shared" si="238"/>
        <v>14.674986400000002</v>
      </c>
      <c r="DB198" s="59">
        <f t="shared" si="239"/>
        <v>0</v>
      </c>
      <c r="DC198" s="59">
        <f t="shared" si="240"/>
        <v>14.430403293333335</v>
      </c>
      <c r="DD198" s="59">
        <f t="shared" si="241"/>
        <v>0</v>
      </c>
      <c r="DE198" s="79">
        <f t="shared" si="242"/>
        <v>55.999461699999991</v>
      </c>
      <c r="DF198" s="83">
        <f t="shared" si="243"/>
        <v>67.722535399999998</v>
      </c>
    </row>
    <row r="199" spans="2:111" ht="16.5" customHeight="1" x14ac:dyDescent="0.25">
      <c r="B199" s="168"/>
      <c r="C199" s="168" t="s">
        <v>653</v>
      </c>
      <c r="D199" s="169" t="s">
        <v>654</v>
      </c>
      <c r="E199" s="170" t="s">
        <v>655</v>
      </c>
      <c r="F199" s="50">
        <f t="shared" si="244"/>
        <v>1.2187849792538021</v>
      </c>
      <c r="G199" s="50" t="str">
        <f t="shared" ca="1" si="245"/>
        <v>No</v>
      </c>
      <c r="H199" s="51" t="str">
        <f t="shared" si="246"/>
        <v>Main - Genoa - Screacher - Spinnaker</v>
      </c>
      <c r="I199" s="171">
        <v>36932</v>
      </c>
      <c r="J199" s="171"/>
      <c r="K199" s="172" t="s">
        <v>656</v>
      </c>
      <c r="L199" s="172" t="s">
        <v>387</v>
      </c>
      <c r="M199" s="171"/>
      <c r="N199" s="173" t="s">
        <v>657</v>
      </c>
      <c r="O199" s="173"/>
      <c r="P199" s="186">
        <v>5</v>
      </c>
      <c r="Q199" s="175">
        <v>8.33</v>
      </c>
      <c r="R199" s="78"/>
      <c r="S199" s="59">
        <f t="shared" si="218"/>
        <v>0.20825000000000002</v>
      </c>
      <c r="T199" s="176">
        <v>7.0000000000000007E-2</v>
      </c>
      <c r="U199" s="176">
        <v>0</v>
      </c>
      <c r="V199" s="61">
        <f t="shared" si="219"/>
        <v>8.26</v>
      </c>
      <c r="W199" s="62">
        <f>IF(RL&gt;0,IF(RL&gt;'Look Ups'!R$7,'Look Ups'!R$8,('Look Ups'!R$3*RL^3+'Look Ups'!R$4*RL^2+'Look Ups'!R$5*RL+'Look Ups'!R$6)),0)</f>
        <v>0.294648839208</v>
      </c>
      <c r="X199" s="177">
        <v>543</v>
      </c>
      <c r="Y199" s="178"/>
      <c r="Z199" s="178"/>
      <c r="AA199" s="178"/>
      <c r="AB199" s="65">
        <f t="shared" si="220"/>
        <v>543</v>
      </c>
      <c r="AC199" s="66">
        <f t="shared" si="221"/>
        <v>543</v>
      </c>
      <c r="AD199" s="179" t="s">
        <v>129</v>
      </c>
      <c r="AE199" s="180" t="s">
        <v>130</v>
      </c>
      <c r="AF199" s="181" t="s">
        <v>131</v>
      </c>
      <c r="AG199" s="70">
        <f>IF(C199="",0,VLOOKUP(AD199,'Look Ups'!$B$3:$C$6,2,0)*VLOOKUP(AE199,'Look Ups'!$E$3:$F$5,2,0)*VLOOKUP(AF199,'Look Ups'!$H$3:$I$7,2,0))</f>
        <v>1</v>
      </c>
      <c r="AH199" s="80">
        <v>11.5</v>
      </c>
      <c r="AI199" s="77">
        <v>11.14</v>
      </c>
      <c r="AJ199" s="77">
        <v>3.69</v>
      </c>
      <c r="AK199" s="77">
        <v>0.86</v>
      </c>
      <c r="AL199" s="77">
        <v>0.78</v>
      </c>
      <c r="AM199" s="77">
        <v>11.68</v>
      </c>
      <c r="AN199" s="77">
        <v>0.11</v>
      </c>
      <c r="AO199" s="77">
        <v>3.73</v>
      </c>
      <c r="AP199" s="77">
        <v>0</v>
      </c>
      <c r="AQ199" s="77">
        <v>0</v>
      </c>
      <c r="AR199" s="77" t="s">
        <v>132</v>
      </c>
      <c r="AS199" s="87">
        <v>0</v>
      </c>
      <c r="AT199" s="59">
        <f t="shared" si="222"/>
        <v>11.68</v>
      </c>
      <c r="AU199" s="59">
        <f t="shared" si="223"/>
        <v>0</v>
      </c>
      <c r="AV199" s="72">
        <f>IF(C199="",0,(0.5*(_ML1*LPM)+0.5*(_ML1*HB)+0.66*(P*PR)+0.66*(_ML2*RDM)+0.66*(E*ER))*VLOOKUP(BATT,'Look Ups'!$N$3:$O$4,2,0))</f>
        <v>32.745340000000006</v>
      </c>
      <c r="AW199" s="182"/>
      <c r="AX199" s="183"/>
      <c r="AY199" s="80">
        <v>9.68</v>
      </c>
      <c r="AZ199" s="77">
        <v>2.71</v>
      </c>
      <c r="BA199" s="77">
        <v>2.87</v>
      </c>
      <c r="BB199" s="77">
        <v>0.14000000000000001</v>
      </c>
      <c r="BC199" s="77">
        <v>9.2200000000000006</v>
      </c>
      <c r="BD199" s="77"/>
      <c r="BE199" s="77"/>
      <c r="BF199" s="77">
        <v>0.35</v>
      </c>
      <c r="BG199" s="77">
        <v>-0.08</v>
      </c>
      <c r="BH199" s="87"/>
      <c r="BI199" s="72">
        <f t="shared" si="224"/>
        <v>15.000304</v>
      </c>
      <c r="BJ199" s="76"/>
      <c r="BK199" s="77"/>
      <c r="BL199" s="78"/>
      <c r="BM199" s="78"/>
      <c r="BN199" s="77"/>
      <c r="BO199" s="78"/>
      <c r="BP199" s="78"/>
      <c r="BQ199" s="79">
        <f t="shared" si="225"/>
        <v>0</v>
      </c>
      <c r="BR199" s="80"/>
      <c r="BS199" s="77"/>
      <c r="BT199" s="77"/>
      <c r="BU199" s="77"/>
      <c r="BV199" s="77"/>
      <c r="BW199" s="77"/>
      <c r="BX199" s="77"/>
      <c r="BY199" s="72">
        <f t="shared" si="226"/>
        <v>0</v>
      </c>
      <c r="BZ199" s="182">
        <v>7.76</v>
      </c>
      <c r="CA199" s="77">
        <v>14.87</v>
      </c>
      <c r="CB199" s="77">
        <v>12.82</v>
      </c>
      <c r="CC199" s="77">
        <v>7.2</v>
      </c>
      <c r="CD199" s="65">
        <f t="shared" si="227"/>
        <v>92.783505154639172</v>
      </c>
      <c r="CE199" s="77">
        <v>0</v>
      </c>
      <c r="CF199" s="79">
        <f t="shared" si="228"/>
        <v>84.362200000000001</v>
      </c>
      <c r="CG199" s="80">
        <v>6.43</v>
      </c>
      <c r="CH199" s="77">
        <v>11.22</v>
      </c>
      <c r="CI199" s="77">
        <v>9.3000000000000007</v>
      </c>
      <c r="CJ199" s="77">
        <v>3.25</v>
      </c>
      <c r="CK199" s="59">
        <f t="shared" si="247"/>
        <v>50.544323483670297</v>
      </c>
      <c r="CL199" s="77">
        <v>0</v>
      </c>
      <c r="CM199" s="72">
        <f t="shared" si="229"/>
        <v>33.225300000000004</v>
      </c>
      <c r="CN199" s="81">
        <f t="shared" si="230"/>
        <v>1</v>
      </c>
      <c r="CO199" s="59">
        <f t="shared" si="231"/>
        <v>32.745340000000006</v>
      </c>
      <c r="CP199" s="59">
        <f t="shared" si="232"/>
        <v>1</v>
      </c>
      <c r="CQ199" s="59">
        <f t="shared" si="233"/>
        <v>15.000304</v>
      </c>
      <c r="CR199" s="59">
        <f>IF(AV199&gt;0,'Look Ups'!$L$3,0)</f>
        <v>1</v>
      </c>
      <c r="CS199" s="59">
        <f t="shared" si="234"/>
        <v>0</v>
      </c>
      <c r="CT199" s="59">
        <f t="shared" si="248"/>
        <v>0</v>
      </c>
      <c r="CU199" s="59">
        <f t="shared" si="249"/>
        <v>0</v>
      </c>
      <c r="CV199" s="79">
        <f t="shared" si="250"/>
        <v>0</v>
      </c>
      <c r="CW199" s="82" t="str">
        <f t="shared" si="235"/>
        <v>valid</v>
      </c>
      <c r="CX199" s="65" t="str">
        <f t="shared" si="236"/>
        <v>valid</v>
      </c>
      <c r="CY199" s="66" t="str">
        <f t="shared" si="251"/>
        <v>MGScrSp</v>
      </c>
      <c r="CZ199" s="81">
        <f t="shared" si="237"/>
        <v>47.745644000000006</v>
      </c>
      <c r="DA199" s="59">
        <f t="shared" si="238"/>
        <v>20.8085688</v>
      </c>
      <c r="DB199" s="59">
        <f t="shared" si="239"/>
        <v>6.3787486000000015</v>
      </c>
      <c r="DC199" s="59">
        <f t="shared" si="240"/>
        <v>20.461759319999999</v>
      </c>
      <c r="DD199" s="59">
        <f t="shared" si="241"/>
        <v>1.0023747800000002</v>
      </c>
      <c r="DE199" s="79">
        <f t="shared" si="242"/>
        <v>49.662107888000008</v>
      </c>
      <c r="DF199" s="83">
        <f t="shared" si="243"/>
        <v>69.209778099999994</v>
      </c>
      <c r="DG199" s="287"/>
    </row>
    <row r="200" spans="2:111" ht="16.5" customHeight="1" x14ac:dyDescent="0.25">
      <c r="B200" s="168"/>
      <c r="C200" s="168" t="s">
        <v>658</v>
      </c>
      <c r="D200" s="169" t="s">
        <v>607</v>
      </c>
      <c r="E200" s="170" t="s">
        <v>608</v>
      </c>
      <c r="F200" s="50">
        <f t="shared" si="244"/>
        <v>0.85212855695271639</v>
      </c>
      <c r="G200" s="50" t="str">
        <f t="shared" ca="1" si="245"/>
        <v>No</v>
      </c>
      <c r="H200" s="51" t="str">
        <f t="shared" si="246"/>
        <v>Main - Genoa - Spinnaker</v>
      </c>
      <c r="I200" s="171">
        <v>39277</v>
      </c>
      <c r="J200" s="171"/>
      <c r="K200" s="172" t="s">
        <v>571</v>
      </c>
      <c r="L200" s="172" t="s">
        <v>219</v>
      </c>
      <c r="M200" s="171"/>
      <c r="N200" s="173" t="s">
        <v>149</v>
      </c>
      <c r="O200" s="173"/>
      <c r="P200" s="186"/>
      <c r="Q200" s="175">
        <v>9.2799999999999994</v>
      </c>
      <c r="R200" s="78"/>
      <c r="S200" s="59">
        <f t="shared" si="218"/>
        <v>0.23199999999999998</v>
      </c>
      <c r="T200" s="176">
        <v>0.28000000000000003</v>
      </c>
      <c r="U200" s="176">
        <v>0</v>
      </c>
      <c r="V200" s="61">
        <f t="shared" si="219"/>
        <v>9</v>
      </c>
      <c r="W200" s="62">
        <f>IF(RL&gt;0,IF(RL&gt;'Look Ups'!R$7,'Look Ups'!R$8,('Look Ups'!R$3*RL^3+'Look Ups'!R$4*RL^2+'Look Ups'!R$5*RL+'Look Ups'!R$6)),0)</f>
        <v>0.296657</v>
      </c>
      <c r="X200" s="177">
        <v>1830</v>
      </c>
      <c r="Y200" s="178"/>
      <c r="Z200" s="178"/>
      <c r="AA200" s="178"/>
      <c r="AB200" s="65">
        <f t="shared" si="220"/>
        <v>1830</v>
      </c>
      <c r="AC200" s="66">
        <f t="shared" si="221"/>
        <v>1830</v>
      </c>
      <c r="AD200" s="179" t="s">
        <v>129</v>
      </c>
      <c r="AE200" s="180" t="s">
        <v>130</v>
      </c>
      <c r="AF200" s="181" t="s">
        <v>131</v>
      </c>
      <c r="AG200" s="70">
        <f>IF(C200="",0,VLOOKUP(AD200,'Look Ups'!$B$3:$C$6,2,0)*VLOOKUP(AE200,'Look Ups'!$E$3:$F$5,2,0)*VLOOKUP(AF200,'Look Ups'!$H$3:$I$7,2,0))</f>
        <v>1</v>
      </c>
      <c r="AH200" s="80">
        <v>11.98</v>
      </c>
      <c r="AI200" s="77">
        <v>11.87</v>
      </c>
      <c r="AJ200" s="77">
        <v>3.67</v>
      </c>
      <c r="AK200" s="77">
        <v>0.79</v>
      </c>
      <c r="AL200" s="77">
        <v>0.57000000000000006</v>
      </c>
      <c r="AM200" s="77">
        <v>12.23</v>
      </c>
      <c r="AN200" s="77">
        <v>0.13</v>
      </c>
      <c r="AO200" s="77">
        <v>3.69</v>
      </c>
      <c r="AP200" s="77">
        <v>0.85</v>
      </c>
      <c r="AQ200" s="77"/>
      <c r="AR200" s="77" t="s">
        <v>132</v>
      </c>
      <c r="AS200" s="87">
        <v>0</v>
      </c>
      <c r="AT200" s="59">
        <f t="shared" si="222"/>
        <v>13.08</v>
      </c>
      <c r="AU200" s="59">
        <f t="shared" si="223"/>
        <v>0</v>
      </c>
      <c r="AV200" s="72">
        <f>IF(C200="",0,(0.5*(_ML1*LPM)+0.5*(_ML1*HB)+0.66*(P*PR)+0.66*(_ML2*RDM)+0.66*(E*ER))*VLOOKUP(BATT,'Look Ups'!$N$3:$O$4,2,0))</f>
        <v>34.300318000000004</v>
      </c>
      <c r="AW200" s="182"/>
      <c r="AX200" s="183"/>
      <c r="AY200" s="80">
        <v>10.4</v>
      </c>
      <c r="AZ200" s="77">
        <v>3.77</v>
      </c>
      <c r="BA200" s="77">
        <v>4.04</v>
      </c>
      <c r="BB200" s="77">
        <v>0.13</v>
      </c>
      <c r="BC200" s="77">
        <v>9.6</v>
      </c>
      <c r="BD200" s="77"/>
      <c r="BE200" s="77"/>
      <c r="BF200" s="77">
        <v>-0.32</v>
      </c>
      <c r="BG200" s="77">
        <v>0.06</v>
      </c>
      <c r="BH200" s="87">
        <v>0</v>
      </c>
      <c r="BI200" s="72">
        <f t="shared" si="224"/>
        <v>18.334952000000001</v>
      </c>
      <c r="BJ200" s="76"/>
      <c r="BK200" s="77"/>
      <c r="BL200" s="78"/>
      <c r="BM200" s="78"/>
      <c r="BN200" s="77"/>
      <c r="BO200" s="78"/>
      <c r="BP200" s="78"/>
      <c r="BQ200" s="79">
        <f t="shared" si="225"/>
        <v>0</v>
      </c>
      <c r="BR200" s="80"/>
      <c r="BS200" s="77"/>
      <c r="BT200" s="77"/>
      <c r="BU200" s="77"/>
      <c r="BV200" s="77"/>
      <c r="BW200" s="77"/>
      <c r="BX200" s="77"/>
      <c r="BY200" s="72">
        <f t="shared" si="226"/>
        <v>0</v>
      </c>
      <c r="BZ200" s="182">
        <v>7.86</v>
      </c>
      <c r="CA200" s="77">
        <v>14.75</v>
      </c>
      <c r="CB200" s="77">
        <v>11.95</v>
      </c>
      <c r="CC200" s="77">
        <v>6.78</v>
      </c>
      <c r="CD200" s="65">
        <f t="shared" si="227"/>
        <v>86.25954198473282</v>
      </c>
      <c r="CE200" s="77">
        <v>0</v>
      </c>
      <c r="CF200" s="79">
        <f t="shared" si="228"/>
        <v>77.830500000000001</v>
      </c>
      <c r="CG200" s="80"/>
      <c r="CH200" s="77"/>
      <c r="CI200" s="77"/>
      <c r="CJ200" s="77"/>
      <c r="CK200" s="59" t="str">
        <f t="shared" si="247"/>
        <v/>
      </c>
      <c r="CL200" s="77">
        <v>0</v>
      </c>
      <c r="CM200" s="72">
        <f t="shared" si="229"/>
        <v>0</v>
      </c>
      <c r="CN200" s="81">
        <f t="shared" si="230"/>
        <v>1</v>
      </c>
      <c r="CO200" s="59">
        <f t="shared" si="231"/>
        <v>34.300318000000004</v>
      </c>
      <c r="CP200" s="59">
        <f t="shared" si="232"/>
        <v>1</v>
      </c>
      <c r="CQ200" s="59">
        <f t="shared" si="233"/>
        <v>18.334952000000001</v>
      </c>
      <c r="CR200" s="59">
        <f>IF(AV200&gt;0,'Look Ups'!$L$3,0)</f>
        <v>1</v>
      </c>
      <c r="CS200" s="59">
        <f t="shared" si="234"/>
        <v>0</v>
      </c>
      <c r="CT200" s="59">
        <f t="shared" si="248"/>
        <v>0</v>
      </c>
      <c r="CU200" s="59">
        <f t="shared" si="249"/>
        <v>0</v>
      </c>
      <c r="CV200" s="79">
        <f t="shared" si="250"/>
        <v>0</v>
      </c>
      <c r="CW200" s="82" t="str">
        <f t="shared" si="235"/>
        <v>-</v>
      </c>
      <c r="CX200" s="65" t="str">
        <f t="shared" si="236"/>
        <v>valid</v>
      </c>
      <c r="CY200" s="66" t="str">
        <f t="shared" si="251"/>
        <v>MGSp</v>
      </c>
      <c r="CZ200" s="81">
        <f t="shared" si="237"/>
        <v>52.635270000000006</v>
      </c>
      <c r="DA200" s="59">
        <f t="shared" si="238"/>
        <v>17.848664400000001</v>
      </c>
      <c r="DB200" s="59">
        <f t="shared" si="239"/>
        <v>0</v>
      </c>
      <c r="DC200" s="59">
        <f t="shared" si="240"/>
        <v>17.551186659999999</v>
      </c>
      <c r="DD200" s="59">
        <f t="shared" si="241"/>
        <v>0</v>
      </c>
      <c r="DE200" s="79">
        <f t="shared" si="242"/>
        <v>54.359529528000003</v>
      </c>
      <c r="DF200" s="83">
        <f t="shared" si="243"/>
        <v>70.48393440000001</v>
      </c>
    </row>
    <row r="201" spans="2:111" ht="16.5" customHeight="1" x14ac:dyDescent="0.25">
      <c r="B201" s="168"/>
      <c r="C201" s="168" t="s">
        <v>990</v>
      </c>
      <c r="D201" s="169" t="s">
        <v>223</v>
      </c>
      <c r="E201" s="170" t="s">
        <v>659</v>
      </c>
      <c r="F201" s="50">
        <f t="shared" si="244"/>
        <v>0.86496695413320313</v>
      </c>
      <c r="G201" s="50" t="str">
        <f t="shared" ca="1" si="245"/>
        <v>No</v>
      </c>
      <c r="H201" s="51" t="str">
        <f t="shared" si="246"/>
        <v>Main - Genoa - Screacher - Spinnaker</v>
      </c>
      <c r="I201" s="171">
        <v>37878</v>
      </c>
      <c r="J201" s="171">
        <v>39340</v>
      </c>
      <c r="K201" s="172" t="s">
        <v>224</v>
      </c>
      <c r="L201" s="172" t="s">
        <v>187</v>
      </c>
      <c r="M201" s="171"/>
      <c r="N201" s="87" t="s">
        <v>537</v>
      </c>
      <c r="O201" s="87"/>
      <c r="P201" s="186"/>
      <c r="Q201" s="175">
        <v>7.42</v>
      </c>
      <c r="R201" s="78"/>
      <c r="S201" s="59">
        <f t="shared" si="218"/>
        <v>0.1855</v>
      </c>
      <c r="T201" s="176">
        <v>0.23</v>
      </c>
      <c r="U201" s="176">
        <v>0</v>
      </c>
      <c r="V201" s="61">
        <f t="shared" si="219"/>
        <v>7.1899999999999995</v>
      </c>
      <c r="W201" s="62">
        <f>IF(RL&gt;0,IF(RL&gt;'Look Ups'!R$7,'Look Ups'!R$8,('Look Ups'!R$3*RL^3+'Look Ups'!R$4*RL^2+'Look Ups'!R$5*RL+'Look Ups'!R$6)),0)</f>
        <v>0.29059639364700002</v>
      </c>
      <c r="X201" s="177">
        <v>990</v>
      </c>
      <c r="Y201" s="178"/>
      <c r="Z201" s="178"/>
      <c r="AA201" s="178"/>
      <c r="AB201" s="65">
        <f t="shared" si="220"/>
        <v>990</v>
      </c>
      <c r="AC201" s="66">
        <f t="shared" si="221"/>
        <v>990</v>
      </c>
      <c r="AD201" s="179" t="s">
        <v>129</v>
      </c>
      <c r="AE201" s="180" t="s">
        <v>130</v>
      </c>
      <c r="AF201" s="181" t="s">
        <v>131</v>
      </c>
      <c r="AG201" s="70">
        <f>IF(C201="",0,VLOOKUP(AD201,'Look Ups'!$B$3:$C$6,2,0)*VLOOKUP(AE201,'Look Ups'!$E$3:$F$5,2,0)*VLOOKUP(AF201,'Look Ups'!$H$3:$I$7,2,0))</f>
        <v>1</v>
      </c>
      <c r="AH201" s="80">
        <v>9.5500000000000007</v>
      </c>
      <c r="AI201" s="77">
        <v>9.1199999999999992</v>
      </c>
      <c r="AJ201" s="77">
        <v>3.35</v>
      </c>
      <c r="AK201" s="77">
        <v>1.18</v>
      </c>
      <c r="AL201" s="77">
        <v>0.59</v>
      </c>
      <c r="AM201" s="77">
        <v>8.9700000000000006</v>
      </c>
      <c r="AN201" s="77">
        <v>0.08</v>
      </c>
      <c r="AO201" s="77">
        <v>3.6</v>
      </c>
      <c r="AP201" s="77">
        <v>0.03</v>
      </c>
      <c r="AQ201" s="77">
        <v>0.4</v>
      </c>
      <c r="AR201" s="77" t="s">
        <v>132</v>
      </c>
      <c r="AS201" s="87">
        <v>0</v>
      </c>
      <c r="AT201" s="59">
        <f t="shared" si="222"/>
        <v>9</v>
      </c>
      <c r="AU201" s="59">
        <f t="shared" si="223"/>
        <v>1.3455000000000004</v>
      </c>
      <c r="AV201" s="72">
        <f>IF(C201="",0,(0.5*(_ML1*LPM)+0.5*(_ML1*HB)+0.66*(P*PR)+0.66*(_ML2*RDM)+0.66*(E*ER))*VLOOKUP(BATT,'Look Ups'!$N$3:$O$4,2,0))</f>
        <v>25.726974000000002</v>
      </c>
      <c r="AW201" s="182"/>
      <c r="AX201" s="183"/>
      <c r="AY201" s="80">
        <v>8.11</v>
      </c>
      <c r="AZ201" s="77">
        <v>2.57</v>
      </c>
      <c r="BA201" s="77">
        <v>2.95</v>
      </c>
      <c r="BB201" s="77">
        <v>0.08</v>
      </c>
      <c r="BC201" s="77">
        <v>7.22</v>
      </c>
      <c r="BD201" s="77"/>
      <c r="BE201" s="77"/>
      <c r="BF201" s="77">
        <v>0.1</v>
      </c>
      <c r="BG201" s="77">
        <v>-0.06</v>
      </c>
      <c r="BH201" s="87">
        <v>0</v>
      </c>
      <c r="BI201" s="72">
        <f t="shared" si="224"/>
        <v>10.732474</v>
      </c>
      <c r="BJ201" s="76"/>
      <c r="BK201" s="77"/>
      <c r="BL201" s="78"/>
      <c r="BM201" s="78"/>
      <c r="BN201" s="77"/>
      <c r="BO201" s="78"/>
      <c r="BP201" s="78"/>
      <c r="BQ201" s="79">
        <f t="shared" si="225"/>
        <v>0</v>
      </c>
      <c r="BR201" s="80"/>
      <c r="BS201" s="77"/>
      <c r="BT201" s="77"/>
      <c r="BU201" s="77"/>
      <c r="BV201" s="77"/>
      <c r="BW201" s="77"/>
      <c r="BX201" s="77"/>
      <c r="BY201" s="72">
        <f t="shared" si="226"/>
        <v>0</v>
      </c>
      <c r="BZ201" s="182">
        <v>7.38</v>
      </c>
      <c r="CA201" s="77">
        <v>12.03</v>
      </c>
      <c r="CB201" s="77">
        <v>11.01</v>
      </c>
      <c r="CC201" s="77">
        <v>6.38</v>
      </c>
      <c r="CD201" s="65">
        <f t="shared" si="227"/>
        <v>86.449864498644985</v>
      </c>
      <c r="CE201" s="77">
        <v>0</v>
      </c>
      <c r="CF201" s="79">
        <f t="shared" si="228"/>
        <v>63.167999999999999</v>
      </c>
      <c r="CG201" s="80">
        <v>6</v>
      </c>
      <c r="CH201" s="77">
        <v>8.9600000000000009</v>
      </c>
      <c r="CI201" s="77">
        <v>7.6</v>
      </c>
      <c r="CJ201" s="77">
        <v>3.02</v>
      </c>
      <c r="CK201" s="59">
        <f t="shared" si="247"/>
        <v>50.333333333333329</v>
      </c>
      <c r="CL201" s="77">
        <v>0</v>
      </c>
      <c r="CM201" s="72">
        <f t="shared" si="229"/>
        <v>24.950400000000002</v>
      </c>
      <c r="CN201" s="81">
        <f t="shared" si="230"/>
        <v>1</v>
      </c>
      <c r="CO201" s="59">
        <f t="shared" si="231"/>
        <v>27.072474000000003</v>
      </c>
      <c r="CP201" s="59">
        <f t="shared" si="232"/>
        <v>1</v>
      </c>
      <c r="CQ201" s="59">
        <f t="shared" si="233"/>
        <v>10.732474</v>
      </c>
      <c r="CR201" s="59">
        <f>IF(AV201&gt;0,'Look Ups'!$L$3,0)</f>
        <v>1</v>
      </c>
      <c r="CS201" s="59">
        <f t="shared" si="234"/>
        <v>0</v>
      </c>
      <c r="CT201" s="59">
        <f t="shared" si="248"/>
        <v>0</v>
      </c>
      <c r="CU201" s="59">
        <f t="shared" si="249"/>
        <v>0</v>
      </c>
      <c r="CV201" s="79">
        <f t="shared" si="250"/>
        <v>0</v>
      </c>
      <c r="CW201" s="82" t="str">
        <f t="shared" si="235"/>
        <v>valid</v>
      </c>
      <c r="CX201" s="65" t="str">
        <f t="shared" si="236"/>
        <v>valid</v>
      </c>
      <c r="CY201" s="66" t="str">
        <f t="shared" si="251"/>
        <v>MGScrSp</v>
      </c>
      <c r="CZ201" s="81">
        <f t="shared" si="237"/>
        <v>37.804948000000003</v>
      </c>
      <c r="DA201" s="59">
        <f t="shared" si="238"/>
        <v>15.730657799999998</v>
      </c>
      <c r="DB201" s="59">
        <f t="shared" si="239"/>
        <v>4.9762741000000004</v>
      </c>
      <c r="DC201" s="59">
        <f t="shared" si="240"/>
        <v>15.468480169999998</v>
      </c>
      <c r="DD201" s="59">
        <f t="shared" si="241"/>
        <v>0.78198593000000016</v>
      </c>
      <c r="DE201" s="79">
        <f t="shared" si="242"/>
        <v>39.569668</v>
      </c>
      <c r="DF201" s="83">
        <f t="shared" si="243"/>
        <v>54.0554141</v>
      </c>
    </row>
    <row r="202" spans="2:111" ht="16.5" customHeight="1" x14ac:dyDescent="0.25">
      <c r="B202" s="168"/>
      <c r="C202" s="168" t="s">
        <v>660</v>
      </c>
      <c r="D202" s="184"/>
      <c r="E202" s="170" t="s">
        <v>661</v>
      </c>
      <c r="F202" s="50">
        <f t="shared" si="244"/>
        <v>0.77409060179567613</v>
      </c>
      <c r="G202" s="50" t="str">
        <f t="shared" ca="1" si="245"/>
        <v>No</v>
      </c>
      <c r="H202" s="51" t="str">
        <f t="shared" si="246"/>
        <v>Main - Genoa - Screacher</v>
      </c>
      <c r="I202" s="171">
        <v>39131</v>
      </c>
      <c r="J202" s="171"/>
      <c r="K202" s="172" t="s">
        <v>305</v>
      </c>
      <c r="L202" s="172" t="s">
        <v>239</v>
      </c>
      <c r="M202" s="171"/>
      <c r="N202" s="87" t="s">
        <v>149</v>
      </c>
      <c r="O202" s="87"/>
      <c r="P202" s="185"/>
      <c r="Q202" s="175">
        <v>11.7</v>
      </c>
      <c r="R202" s="78"/>
      <c r="S202" s="59">
        <f t="shared" si="218"/>
        <v>0.29249999999999998</v>
      </c>
      <c r="T202" s="176">
        <v>0</v>
      </c>
      <c r="U202" s="176">
        <v>0</v>
      </c>
      <c r="V202" s="61">
        <f t="shared" si="219"/>
        <v>11.7</v>
      </c>
      <c r="W202" s="62">
        <f>IF(RL&gt;0,IF(RL&gt;'Look Ups'!R$7,'Look Ups'!R$8,('Look Ups'!R$3*RL^3+'Look Ups'!R$4*RL^2+'Look Ups'!R$5*RL+'Look Ups'!R$6)),0)</f>
        <v>0.299857229</v>
      </c>
      <c r="X202" s="177">
        <v>5205</v>
      </c>
      <c r="Y202" s="178"/>
      <c r="Z202" s="178"/>
      <c r="AA202" s="178"/>
      <c r="AB202" s="65">
        <f t="shared" si="220"/>
        <v>5205</v>
      </c>
      <c r="AC202" s="66">
        <f t="shared" si="221"/>
        <v>5205</v>
      </c>
      <c r="AD202" s="179" t="s">
        <v>662</v>
      </c>
      <c r="AE202" s="180" t="s">
        <v>130</v>
      </c>
      <c r="AF202" s="181" t="s">
        <v>131</v>
      </c>
      <c r="AG202" s="70">
        <f>IF(C202="",0,VLOOKUP(AD202,'Look Ups'!$B$3:$C$6,2,0)*VLOOKUP(AE202,'Look Ups'!$E$3:$F$5,2,0)*VLOOKUP(AF202,'Look Ups'!$H$3:$I$7,2,0))</f>
        <v>0.995</v>
      </c>
      <c r="AH202" s="80">
        <v>14.05</v>
      </c>
      <c r="AI202" s="77">
        <v>12.39</v>
      </c>
      <c r="AJ202" s="77">
        <v>4.53</v>
      </c>
      <c r="AK202" s="77">
        <v>1.4</v>
      </c>
      <c r="AL202" s="77">
        <v>1.1100000000000001</v>
      </c>
      <c r="AM202" s="77">
        <v>13.77</v>
      </c>
      <c r="AN202" s="77">
        <v>0.09</v>
      </c>
      <c r="AO202" s="77">
        <v>4.6399999999999997</v>
      </c>
      <c r="AP202" s="77">
        <v>0.03</v>
      </c>
      <c r="AQ202" s="77">
        <v>0.62</v>
      </c>
      <c r="AR202" s="77" t="s">
        <v>132</v>
      </c>
      <c r="AS202" s="87">
        <v>0</v>
      </c>
      <c r="AT202" s="59">
        <f t="shared" si="222"/>
        <v>13.799999999999999</v>
      </c>
      <c r="AU202" s="59">
        <f t="shared" si="223"/>
        <v>3.2015250000000002</v>
      </c>
      <c r="AV202" s="72">
        <f>IF(C202="",0,(0.5*(_ML1*LPM)+0.5*(_ML1*HB)+0.66*(P*PR)+0.66*(_ML2*RDM)+0.66*(E*ER))*VLOOKUP(BATT,'Look Ups'!$N$3:$O$4,2,0))</f>
        <v>51.644974000000005</v>
      </c>
      <c r="AW202" s="182"/>
      <c r="AX202" s="183"/>
      <c r="AY202" s="80">
        <v>12.24</v>
      </c>
      <c r="AZ202" s="77">
        <v>4.8</v>
      </c>
      <c r="BA202" s="77">
        <v>5.32</v>
      </c>
      <c r="BB202" s="77">
        <v>0.11</v>
      </c>
      <c r="BC202" s="77">
        <v>10.91</v>
      </c>
      <c r="BD202" s="77"/>
      <c r="BE202" s="77"/>
      <c r="BF202" s="77">
        <v>-0.30000000000000004</v>
      </c>
      <c r="BG202" s="77">
        <v>-0.1</v>
      </c>
      <c r="BH202" s="87">
        <v>0</v>
      </c>
      <c r="BI202" s="72">
        <f t="shared" si="224"/>
        <v>26.794211999999998</v>
      </c>
      <c r="BJ202" s="76"/>
      <c r="BK202" s="77"/>
      <c r="BL202" s="78"/>
      <c r="BM202" s="78"/>
      <c r="BN202" s="77"/>
      <c r="BO202" s="78"/>
      <c r="BP202" s="78"/>
      <c r="BQ202" s="79">
        <f t="shared" si="225"/>
        <v>0</v>
      </c>
      <c r="BR202" s="80"/>
      <c r="BS202" s="77"/>
      <c r="BT202" s="77"/>
      <c r="BU202" s="77"/>
      <c r="BV202" s="77"/>
      <c r="BW202" s="77"/>
      <c r="BX202" s="77"/>
      <c r="BY202" s="72">
        <f t="shared" si="226"/>
        <v>0</v>
      </c>
      <c r="BZ202" s="182"/>
      <c r="CA202" s="77"/>
      <c r="CB202" s="77"/>
      <c r="CC202" s="77"/>
      <c r="CD202" s="65" t="str">
        <f t="shared" si="227"/>
        <v/>
      </c>
      <c r="CE202" s="77"/>
      <c r="CF202" s="79">
        <f t="shared" si="228"/>
        <v>0</v>
      </c>
      <c r="CG202" s="80">
        <v>9.32</v>
      </c>
      <c r="CH202" s="77">
        <v>16.82</v>
      </c>
      <c r="CI202" s="77">
        <v>15.43</v>
      </c>
      <c r="CJ202" s="77">
        <v>6.62</v>
      </c>
      <c r="CK202" s="59">
        <f t="shared" si="247"/>
        <v>71.030042918454939</v>
      </c>
      <c r="CL202" s="87">
        <v>0</v>
      </c>
      <c r="CM202" s="72">
        <f t="shared" si="229"/>
        <v>96.212500000000006</v>
      </c>
      <c r="CN202" s="81">
        <f t="shared" si="230"/>
        <v>1</v>
      </c>
      <c r="CO202" s="59">
        <f t="shared" si="231"/>
        <v>54.846499000000009</v>
      </c>
      <c r="CP202" s="59">
        <f t="shared" si="232"/>
        <v>1</v>
      </c>
      <c r="CQ202" s="59">
        <f t="shared" si="233"/>
        <v>26.794211999999998</v>
      </c>
      <c r="CR202" s="59">
        <f>IF(AV202&gt;0,'Look Ups'!$L$3,0)</f>
        <v>1</v>
      </c>
      <c r="CS202" s="59">
        <f t="shared" si="234"/>
        <v>0</v>
      </c>
      <c r="CT202" s="59">
        <f t="shared" si="248"/>
        <v>0</v>
      </c>
      <c r="CU202" s="59">
        <f t="shared" si="249"/>
        <v>0</v>
      </c>
      <c r="CV202" s="79">
        <f t="shared" si="250"/>
        <v>0</v>
      </c>
      <c r="CW202" s="82" t="str">
        <f t="shared" si="235"/>
        <v>valid</v>
      </c>
      <c r="CX202" s="65" t="str">
        <f t="shared" si="236"/>
        <v>-</v>
      </c>
      <c r="CY202" s="66" t="str">
        <f t="shared" si="251"/>
        <v>MGScr</v>
      </c>
      <c r="CZ202" s="81">
        <f t="shared" si="237"/>
        <v>81.64071100000001</v>
      </c>
      <c r="DA202" s="59">
        <f t="shared" si="238"/>
        <v>0</v>
      </c>
      <c r="DB202" s="59">
        <f t="shared" si="239"/>
        <v>24.296400800000001</v>
      </c>
      <c r="DC202" s="59">
        <f t="shared" si="240"/>
        <v>0</v>
      </c>
      <c r="DD202" s="59">
        <f t="shared" si="241"/>
        <v>3.8180058400000001</v>
      </c>
      <c r="DE202" s="79">
        <f t="shared" si="242"/>
        <v>84.670357996000007</v>
      </c>
      <c r="DF202" s="83">
        <f t="shared" si="243"/>
        <v>105.93711180000001</v>
      </c>
    </row>
    <row r="203" spans="2:111" ht="16.5" customHeight="1" x14ac:dyDescent="0.25">
      <c r="B203" s="168"/>
      <c r="C203" s="168" t="s">
        <v>663</v>
      </c>
      <c r="D203" s="184"/>
      <c r="E203" s="170" t="s">
        <v>664</v>
      </c>
      <c r="F203" s="50">
        <f t="shared" si="244"/>
        <v>0.8295913560359226</v>
      </c>
      <c r="G203" s="50" t="str">
        <f t="shared" ca="1" si="245"/>
        <v>No</v>
      </c>
      <c r="H203" s="51" t="str">
        <f t="shared" si="246"/>
        <v>Main - Genoa - Spinnaker</v>
      </c>
      <c r="I203" s="171">
        <v>39767</v>
      </c>
      <c r="J203" s="171">
        <v>39768</v>
      </c>
      <c r="K203" s="172" t="s">
        <v>303</v>
      </c>
      <c r="L203" s="172" t="s">
        <v>143</v>
      </c>
      <c r="M203" s="171"/>
      <c r="N203" s="87"/>
      <c r="O203" s="87"/>
      <c r="P203" s="185"/>
      <c r="Q203" s="175">
        <v>6.18</v>
      </c>
      <c r="R203" s="78"/>
      <c r="S203" s="59">
        <f t="shared" si="218"/>
        <v>0.1545</v>
      </c>
      <c r="T203" s="176">
        <v>0</v>
      </c>
      <c r="U203" s="176">
        <v>0</v>
      </c>
      <c r="V203" s="61">
        <f t="shared" si="219"/>
        <v>6.18</v>
      </c>
      <c r="W203" s="62">
        <f>IF(RL&gt;0,IF(RL&gt;'Look Ups'!R$7,'Look Ups'!R$8,('Look Ups'!R$3*RL^3+'Look Ups'!R$4*RL^2+'Look Ups'!R$5*RL+'Look Ups'!R$6)),0)</f>
        <v>0.285329598056</v>
      </c>
      <c r="X203" s="177">
        <v>560</v>
      </c>
      <c r="Y203" s="178"/>
      <c r="Z203" s="178"/>
      <c r="AA203" s="178"/>
      <c r="AB203" s="65">
        <f t="shared" si="220"/>
        <v>560</v>
      </c>
      <c r="AC203" s="66">
        <f t="shared" si="221"/>
        <v>560</v>
      </c>
      <c r="AD203" s="179" t="s">
        <v>129</v>
      </c>
      <c r="AE203" s="180" t="s">
        <v>130</v>
      </c>
      <c r="AF203" s="181" t="s">
        <v>131</v>
      </c>
      <c r="AG203" s="70">
        <f>IF(C203="",0,VLOOKUP(AD203,'Look Ups'!$B$3:$C$6,2,0)*VLOOKUP(AE203,'Look Ups'!$E$3:$F$5,2,0)*VLOOKUP(AF203,'Look Ups'!$H$3:$I$7,2,0))</f>
        <v>1</v>
      </c>
      <c r="AH203" s="80">
        <v>9.56</v>
      </c>
      <c r="AI203" s="77">
        <v>9.56</v>
      </c>
      <c r="AJ203" s="77">
        <v>2.7</v>
      </c>
      <c r="AK203" s="77">
        <v>0.82</v>
      </c>
      <c r="AL203" s="77">
        <v>0.30000000000000004</v>
      </c>
      <c r="AM203" s="77">
        <v>9.56</v>
      </c>
      <c r="AN203" s="77">
        <v>0.1</v>
      </c>
      <c r="AO203" s="77">
        <v>2.75</v>
      </c>
      <c r="AP203" s="77">
        <v>0</v>
      </c>
      <c r="AQ203" s="77">
        <v>0.2</v>
      </c>
      <c r="AR203" s="77" t="s">
        <v>132</v>
      </c>
      <c r="AS203" s="87"/>
      <c r="AT203" s="59">
        <f t="shared" si="222"/>
        <v>9.56</v>
      </c>
      <c r="AU203" s="59">
        <f t="shared" si="223"/>
        <v>0.71700000000000008</v>
      </c>
      <c r="AV203" s="72">
        <f>IF(C203="",0,(0.5*(_ML1*LPM)+0.5*(_ML1*HB)+0.66*(P*PR)+0.66*(_ML2*RDM)+0.66*(E*ER))*VLOOKUP(BATT,'Look Ups'!$N$3:$O$4,2,0))</f>
        <v>19.349440000000005</v>
      </c>
      <c r="AW203" s="182"/>
      <c r="AX203" s="183"/>
      <c r="AY203" s="80">
        <v>7</v>
      </c>
      <c r="AZ203" s="77">
        <v>1.6</v>
      </c>
      <c r="BA203" s="77">
        <v>1.65</v>
      </c>
      <c r="BB203" s="77">
        <v>0</v>
      </c>
      <c r="BC203" s="77">
        <v>7.89</v>
      </c>
      <c r="BD203" s="77"/>
      <c r="BE203" s="77"/>
      <c r="BF203" s="77">
        <v>0</v>
      </c>
      <c r="BG203" s="77">
        <v>-0.2</v>
      </c>
      <c r="BH203" s="87"/>
      <c r="BI203" s="72">
        <f t="shared" si="224"/>
        <v>4.6760000000000002</v>
      </c>
      <c r="BJ203" s="76"/>
      <c r="BK203" s="77"/>
      <c r="BL203" s="78"/>
      <c r="BM203" s="78"/>
      <c r="BN203" s="77"/>
      <c r="BO203" s="78"/>
      <c r="BP203" s="78"/>
      <c r="BQ203" s="79">
        <f t="shared" si="225"/>
        <v>0</v>
      </c>
      <c r="BR203" s="80"/>
      <c r="BS203" s="77"/>
      <c r="BT203" s="77"/>
      <c r="BU203" s="77"/>
      <c r="BV203" s="77"/>
      <c r="BW203" s="77"/>
      <c r="BX203" s="77"/>
      <c r="BY203" s="72">
        <f t="shared" si="226"/>
        <v>0</v>
      </c>
      <c r="BZ203" s="182">
        <v>5.35</v>
      </c>
      <c r="CA203" s="77">
        <v>10.36</v>
      </c>
      <c r="CB203" s="77">
        <v>8.9</v>
      </c>
      <c r="CC203" s="77">
        <v>4.74</v>
      </c>
      <c r="CD203" s="65">
        <f t="shared" si="227"/>
        <v>88.598130841121502</v>
      </c>
      <c r="CE203" s="77"/>
      <c r="CF203" s="79">
        <f t="shared" si="228"/>
        <v>39.01755</v>
      </c>
      <c r="CG203" s="80"/>
      <c r="CH203" s="77"/>
      <c r="CI203" s="77"/>
      <c r="CJ203" s="77"/>
      <c r="CK203" s="59" t="str">
        <f t="shared" si="247"/>
        <v/>
      </c>
      <c r="CL203" s="87"/>
      <c r="CM203" s="72">
        <f t="shared" si="229"/>
        <v>0</v>
      </c>
      <c r="CN203" s="81">
        <f t="shared" si="230"/>
        <v>1</v>
      </c>
      <c r="CO203" s="59">
        <f t="shared" si="231"/>
        <v>20.066440000000004</v>
      </c>
      <c r="CP203" s="59">
        <f t="shared" si="232"/>
        <v>1</v>
      </c>
      <c r="CQ203" s="59">
        <f t="shared" si="233"/>
        <v>4.6760000000000002</v>
      </c>
      <c r="CR203" s="59">
        <f>IF(AV203&gt;0,'Look Ups'!$L$3,0)</f>
        <v>1</v>
      </c>
      <c r="CS203" s="59">
        <f t="shared" si="234"/>
        <v>0</v>
      </c>
      <c r="CT203" s="59">
        <f t="shared" si="248"/>
        <v>0</v>
      </c>
      <c r="CU203" s="59">
        <f t="shared" si="249"/>
        <v>0</v>
      </c>
      <c r="CV203" s="79">
        <f t="shared" si="250"/>
        <v>0</v>
      </c>
      <c r="CW203" s="82" t="str">
        <f t="shared" si="235"/>
        <v>-</v>
      </c>
      <c r="CX203" s="65" t="str">
        <f t="shared" si="236"/>
        <v>valid</v>
      </c>
      <c r="CY203" s="66" t="str">
        <f t="shared" si="251"/>
        <v>MGSp</v>
      </c>
      <c r="CZ203" s="81">
        <f t="shared" si="237"/>
        <v>24.742440000000002</v>
      </c>
      <c r="DA203" s="59">
        <f t="shared" si="238"/>
        <v>10.302465</v>
      </c>
      <c r="DB203" s="59">
        <f t="shared" si="239"/>
        <v>0</v>
      </c>
      <c r="DC203" s="59">
        <f t="shared" si="240"/>
        <v>10.130757249999998</v>
      </c>
      <c r="DD203" s="59">
        <f t="shared" si="241"/>
        <v>0</v>
      </c>
      <c r="DE203" s="79">
        <f t="shared" si="242"/>
        <v>26.404607520000003</v>
      </c>
      <c r="DF203" s="83">
        <f t="shared" si="243"/>
        <v>35.044905</v>
      </c>
    </row>
    <row r="204" spans="2:111" ht="16.5" customHeight="1" x14ac:dyDescent="0.25">
      <c r="B204" s="168"/>
      <c r="C204" s="168" t="s">
        <v>665</v>
      </c>
      <c r="D204" s="184" t="s">
        <v>666</v>
      </c>
      <c r="E204" s="170" t="s">
        <v>667</v>
      </c>
      <c r="F204" s="50">
        <f t="shared" si="244"/>
        <v>0.61873250505699839</v>
      </c>
      <c r="G204" s="50" t="str">
        <f t="shared" ca="1" si="245"/>
        <v>No</v>
      </c>
      <c r="H204" s="51" t="str">
        <f t="shared" si="246"/>
        <v>Main - Genoa - Spinnaker</v>
      </c>
      <c r="I204" s="171">
        <v>39039</v>
      </c>
      <c r="J204" s="171">
        <v>39757</v>
      </c>
      <c r="K204" s="172" t="s">
        <v>303</v>
      </c>
      <c r="L204" s="172" t="s">
        <v>143</v>
      </c>
      <c r="M204" s="171"/>
      <c r="N204" s="87" t="s">
        <v>657</v>
      </c>
      <c r="O204" s="87"/>
      <c r="P204" s="185"/>
      <c r="Q204" s="175">
        <v>6.75</v>
      </c>
      <c r="R204" s="78"/>
      <c r="S204" s="59">
        <f t="shared" si="218"/>
        <v>0.16875000000000001</v>
      </c>
      <c r="T204" s="176">
        <v>0.2</v>
      </c>
      <c r="U204" s="176">
        <v>0</v>
      </c>
      <c r="V204" s="61">
        <f t="shared" si="219"/>
        <v>6.55</v>
      </c>
      <c r="W204" s="62">
        <f>IF(RL&gt;0,IF(RL&gt;'Look Ups'!R$7,'Look Ups'!R$8,('Look Ups'!R$3*RL^3+'Look Ups'!R$4*RL^2+'Look Ups'!R$5*RL+'Look Ups'!R$6)),0)</f>
        <v>0.28743487537500001</v>
      </c>
      <c r="X204" s="177">
        <v>1160</v>
      </c>
      <c r="Y204" s="178"/>
      <c r="Z204" s="178"/>
      <c r="AA204" s="178"/>
      <c r="AB204" s="65">
        <f t="shared" si="220"/>
        <v>1160</v>
      </c>
      <c r="AC204" s="66">
        <f t="shared" si="221"/>
        <v>1160</v>
      </c>
      <c r="AD204" s="179" t="s">
        <v>129</v>
      </c>
      <c r="AE204" s="180" t="s">
        <v>130</v>
      </c>
      <c r="AF204" s="181" t="s">
        <v>131</v>
      </c>
      <c r="AG204" s="70">
        <f>IF(C204="",0,VLOOKUP(AD204,'Look Ups'!$B$3:$C$6,2,0)*VLOOKUP(AE204,'Look Ups'!$E$3:$F$5,2,0)*VLOOKUP(AF204,'Look Ups'!$H$3:$I$7,2,0))</f>
        <v>1</v>
      </c>
      <c r="AH204" s="80">
        <v>7.7</v>
      </c>
      <c r="AI204" s="77">
        <v>7.7</v>
      </c>
      <c r="AJ204" s="77">
        <v>2.77</v>
      </c>
      <c r="AK204" s="77">
        <v>0</v>
      </c>
      <c r="AL204" s="77">
        <v>0.85599999999999998</v>
      </c>
      <c r="AM204" s="77">
        <v>7.3</v>
      </c>
      <c r="AN204" s="77">
        <v>0.06</v>
      </c>
      <c r="AO204" s="77">
        <v>2.89</v>
      </c>
      <c r="AP204" s="77">
        <v>0</v>
      </c>
      <c r="AQ204" s="77">
        <v>0</v>
      </c>
      <c r="AR204" s="77" t="s">
        <v>132</v>
      </c>
      <c r="AS204" s="87">
        <v>0</v>
      </c>
      <c r="AT204" s="59">
        <f t="shared" si="222"/>
        <v>7.3</v>
      </c>
      <c r="AU204" s="59">
        <f t="shared" si="223"/>
        <v>0</v>
      </c>
      <c r="AV204" s="72">
        <f>IF(C204="",0,(0.5*(_ML1*LPM)+0.5*(_ML1*HB)+0.66*(P*PR)+0.66*(_ML2*RDM)+0.66*(E*ER))*VLOOKUP(BATT,'Look Ups'!$N$3:$O$4,2,0))</f>
        <v>15.303772</v>
      </c>
      <c r="AW204" s="182"/>
      <c r="AX204" s="183"/>
      <c r="AY204" s="80">
        <v>6.92</v>
      </c>
      <c r="AZ204" s="77">
        <v>2.64</v>
      </c>
      <c r="BA204" s="77">
        <v>2.99</v>
      </c>
      <c r="BB204" s="77">
        <v>0.06</v>
      </c>
      <c r="BC204" s="77">
        <v>6.1</v>
      </c>
      <c r="BD204" s="77"/>
      <c r="BE204" s="77"/>
      <c r="BF204" s="77">
        <v>-0.15</v>
      </c>
      <c r="BG204" s="77">
        <v>0</v>
      </c>
      <c r="BH204" s="87">
        <v>0</v>
      </c>
      <c r="BI204" s="72">
        <f t="shared" si="224"/>
        <v>8.6489040000000017</v>
      </c>
      <c r="BJ204" s="76"/>
      <c r="BK204" s="77"/>
      <c r="BL204" s="78"/>
      <c r="BM204" s="78"/>
      <c r="BN204" s="77"/>
      <c r="BO204" s="78"/>
      <c r="BP204" s="78"/>
      <c r="BQ204" s="79">
        <f t="shared" si="225"/>
        <v>0</v>
      </c>
      <c r="BR204" s="80"/>
      <c r="BS204" s="77"/>
      <c r="BT204" s="77"/>
      <c r="BU204" s="77"/>
      <c r="BV204" s="77"/>
      <c r="BW204" s="77"/>
      <c r="BX204" s="77"/>
      <c r="BY204" s="72">
        <f t="shared" si="226"/>
        <v>0</v>
      </c>
      <c r="BZ204" s="182">
        <v>4.46</v>
      </c>
      <c r="CA204" s="77">
        <v>8.76</v>
      </c>
      <c r="CB204" s="77">
        <v>7.58</v>
      </c>
      <c r="CC204" s="77">
        <v>3.5</v>
      </c>
      <c r="CD204" s="65">
        <f t="shared" si="227"/>
        <v>78.475336322869964</v>
      </c>
      <c r="CE204" s="87">
        <v>0</v>
      </c>
      <c r="CF204" s="79">
        <f t="shared" si="228"/>
        <v>25.136366666666667</v>
      </c>
      <c r="CG204" s="80">
        <v>4.43</v>
      </c>
      <c r="CH204" s="77">
        <v>8.77</v>
      </c>
      <c r="CI204" s="77">
        <v>7.7</v>
      </c>
      <c r="CJ204" s="77">
        <v>2.13</v>
      </c>
      <c r="CK204" s="59">
        <f t="shared" si="247"/>
        <v>48.081264108352144</v>
      </c>
      <c r="CL204" s="87">
        <v>0</v>
      </c>
      <c r="CM204" s="72">
        <f t="shared" si="229"/>
        <v>17.773874999999997</v>
      </c>
      <c r="CN204" s="81">
        <f t="shared" si="230"/>
        <v>1</v>
      </c>
      <c r="CO204" s="59">
        <f t="shared" si="231"/>
        <v>15.303772000000002</v>
      </c>
      <c r="CP204" s="59">
        <f t="shared" si="232"/>
        <v>1</v>
      </c>
      <c r="CQ204" s="59">
        <f t="shared" si="233"/>
        <v>8.6489040000000017</v>
      </c>
      <c r="CR204" s="59">
        <f>IF(AV204&gt;0,'Look Ups'!$L$3,0)</f>
        <v>1</v>
      </c>
      <c r="CS204" s="59">
        <f t="shared" si="234"/>
        <v>0</v>
      </c>
      <c r="CT204" s="59">
        <f t="shared" si="248"/>
        <v>0</v>
      </c>
      <c r="CU204" s="59">
        <f t="shared" si="249"/>
        <v>0</v>
      </c>
      <c r="CV204" s="79">
        <f t="shared" si="250"/>
        <v>0</v>
      </c>
      <c r="CW204" s="82" t="str">
        <f t="shared" si="235"/>
        <v>ERROR</v>
      </c>
      <c r="CX204" s="65" t="str">
        <f t="shared" si="236"/>
        <v>valid</v>
      </c>
      <c r="CY204" s="66" t="str">
        <f t="shared" si="251"/>
        <v>MGSp</v>
      </c>
      <c r="CZ204" s="81">
        <f t="shared" si="237"/>
        <v>23.952676000000004</v>
      </c>
      <c r="DA204" s="59">
        <f t="shared" si="238"/>
        <v>4.9462387999999997</v>
      </c>
      <c r="DB204" s="59">
        <f t="shared" si="239"/>
        <v>3.1937398499999983</v>
      </c>
      <c r="DC204" s="59">
        <f t="shared" si="240"/>
        <v>4.8638014866666666</v>
      </c>
      <c r="DD204" s="59">
        <f t="shared" si="241"/>
        <v>0.50187340499999977</v>
      </c>
      <c r="DE204" s="79">
        <f t="shared" si="242"/>
        <v>24.671401744000004</v>
      </c>
      <c r="DF204" s="83">
        <f t="shared" si="243"/>
        <v>28.898914800000004</v>
      </c>
    </row>
    <row r="205" spans="2:111" ht="16.5" customHeight="1" x14ac:dyDescent="0.25">
      <c r="B205" s="168"/>
      <c r="C205" s="47" t="s">
        <v>296</v>
      </c>
      <c r="D205" s="48" t="s">
        <v>297</v>
      </c>
      <c r="E205" s="49" t="s">
        <v>298</v>
      </c>
      <c r="F205" s="50">
        <f t="shared" si="244"/>
        <v>0.74977773005790305</v>
      </c>
      <c r="G205" s="50" t="str">
        <f t="shared" ca="1" si="245"/>
        <v>No</v>
      </c>
      <c r="H205" s="51" t="str">
        <f t="shared" si="246"/>
        <v>Main - Genoa - Spinnaker</v>
      </c>
      <c r="I205" s="52">
        <v>35865</v>
      </c>
      <c r="J205" s="52"/>
      <c r="K205" s="53" t="s">
        <v>299</v>
      </c>
      <c r="L205" s="53" t="s">
        <v>239</v>
      </c>
      <c r="M205" s="54"/>
      <c r="N205" s="55" t="s">
        <v>127</v>
      </c>
      <c r="O205" s="55"/>
      <c r="P205" s="86">
        <v>8.5</v>
      </c>
      <c r="Q205" s="57">
        <v>11.61</v>
      </c>
      <c r="R205" s="58"/>
      <c r="S205" s="59">
        <f t="shared" si="218"/>
        <v>0.29025000000000001</v>
      </c>
      <c r="T205" s="60">
        <v>0.37</v>
      </c>
      <c r="U205" s="60">
        <v>0</v>
      </c>
      <c r="V205" s="61">
        <f t="shared" si="219"/>
        <v>11.24</v>
      </c>
      <c r="W205" s="62">
        <f>IF(RL&gt;0,IF(RL&gt;'Look Ups'!R$7,'Look Ups'!R$8,('Look Ups'!R$3*RL^3+'Look Ups'!R$4*RL^2+'Look Ups'!R$5*RL+'Look Ups'!R$6)),0)</f>
        <v>0.29966850259200006</v>
      </c>
      <c r="X205" s="63">
        <v>5253</v>
      </c>
      <c r="Y205" s="64"/>
      <c r="Z205" s="64"/>
      <c r="AA205" s="64"/>
      <c r="AB205" s="65">
        <f t="shared" si="220"/>
        <v>5253</v>
      </c>
      <c r="AC205" s="66">
        <f t="shared" si="221"/>
        <v>5253</v>
      </c>
      <c r="AD205" s="67" t="s">
        <v>129</v>
      </c>
      <c r="AE205" s="68" t="s">
        <v>130</v>
      </c>
      <c r="AF205" s="69" t="s">
        <v>300</v>
      </c>
      <c r="AG205" s="70">
        <f>IF(C205="",0,VLOOKUP(AD205,'Look Ups'!$B$3:$C$6,2,0)*VLOOKUP(AE205,'Look Ups'!$E$3:$F$5,2,0)*VLOOKUP(AF205,'Look Ups'!$H$3:$I$7,2,0))</f>
        <v>0.995</v>
      </c>
      <c r="AH205" s="71">
        <v>13.26</v>
      </c>
      <c r="AI205" s="60">
        <v>13.18</v>
      </c>
      <c r="AJ205" s="60">
        <v>4.47</v>
      </c>
      <c r="AK205" s="60">
        <v>0.2</v>
      </c>
      <c r="AL205" s="60">
        <v>0.46</v>
      </c>
      <c r="AM205" s="60">
        <v>13.27</v>
      </c>
      <c r="AN205" s="60">
        <v>0.19</v>
      </c>
      <c r="AO205" s="60">
        <v>4.54</v>
      </c>
      <c r="AP205" s="60">
        <v>0.13</v>
      </c>
      <c r="AQ205" s="60">
        <v>0</v>
      </c>
      <c r="AR205" s="60" t="s">
        <v>132</v>
      </c>
      <c r="AS205" s="75">
        <v>0</v>
      </c>
      <c r="AT205" s="59">
        <f t="shared" si="222"/>
        <v>13.4</v>
      </c>
      <c r="AU205" s="59">
        <f t="shared" si="223"/>
        <v>0</v>
      </c>
      <c r="AV205" s="72">
        <f>IF(C205="",0,(0.5*(_ML1*LPM)+0.5*(_ML1*HB)+0.66*(P*PR)+0.66*(_ML2*RDM)+0.66*(E*ER))*VLOOKUP(BATT,'Look Ups'!$N$3:$O$4,2,0))</f>
        <v>37.017138000000003</v>
      </c>
      <c r="AW205" s="73"/>
      <c r="AX205" s="74"/>
      <c r="AY205" s="71">
        <v>13.83</v>
      </c>
      <c r="AZ205" s="60">
        <v>6.33</v>
      </c>
      <c r="BA205" s="60">
        <v>6.46</v>
      </c>
      <c r="BB205" s="60">
        <v>0.19</v>
      </c>
      <c r="BC205" s="60">
        <v>12.83</v>
      </c>
      <c r="BD205" s="60"/>
      <c r="BE205" s="60"/>
      <c r="BF205" s="60">
        <v>-0.37</v>
      </c>
      <c r="BG205" s="60">
        <v>0</v>
      </c>
      <c r="BH205" s="75"/>
      <c r="BI205" s="72">
        <f t="shared" si="224"/>
        <v>41.448948000000009</v>
      </c>
      <c r="BJ205" s="76"/>
      <c r="BK205" s="77"/>
      <c r="BL205" s="78"/>
      <c r="BM205" s="78"/>
      <c r="BN205" s="77"/>
      <c r="BO205" s="78"/>
      <c r="BP205" s="78"/>
      <c r="BQ205" s="79">
        <f t="shared" si="225"/>
        <v>0</v>
      </c>
      <c r="BR205" s="80"/>
      <c r="BS205" s="77"/>
      <c r="BT205" s="77"/>
      <c r="BU205" s="77"/>
      <c r="BV205" s="77"/>
      <c r="BW205" s="77"/>
      <c r="BX205" s="77"/>
      <c r="BY205" s="72">
        <f t="shared" si="226"/>
        <v>0</v>
      </c>
      <c r="BZ205" s="73">
        <v>9.39</v>
      </c>
      <c r="CA205" s="60">
        <v>14.99</v>
      </c>
      <c r="CB205" s="60">
        <v>14.99</v>
      </c>
      <c r="CC205" s="60">
        <v>9.5399999999999991</v>
      </c>
      <c r="CD205" s="65">
        <f t="shared" si="227"/>
        <v>101.59744408945686</v>
      </c>
      <c r="CE205" s="60">
        <v>0</v>
      </c>
      <c r="CF205" s="79">
        <f t="shared" si="228"/>
        <v>118.79575</v>
      </c>
      <c r="CG205" s="71"/>
      <c r="CH205" s="60"/>
      <c r="CI205" s="60"/>
      <c r="CJ205" s="60"/>
      <c r="CK205" s="59" t="str">
        <f t="shared" si="247"/>
        <v/>
      </c>
      <c r="CL205" s="60">
        <v>0</v>
      </c>
      <c r="CM205" s="72">
        <f t="shared" si="229"/>
        <v>0</v>
      </c>
      <c r="CN205" s="81">
        <f t="shared" si="230"/>
        <v>1</v>
      </c>
      <c r="CO205" s="59">
        <f t="shared" si="231"/>
        <v>37.017138000000003</v>
      </c>
      <c r="CP205" s="59">
        <f t="shared" si="232"/>
        <v>1</v>
      </c>
      <c r="CQ205" s="59">
        <f t="shared" si="233"/>
        <v>41.448948000000009</v>
      </c>
      <c r="CR205" s="59">
        <f>IF(AV205&gt;0,'Look Ups'!$L$3,0)</f>
        <v>1</v>
      </c>
      <c r="CS205" s="59">
        <f t="shared" si="234"/>
        <v>0</v>
      </c>
      <c r="CT205" s="59">
        <f t="shared" si="248"/>
        <v>0</v>
      </c>
      <c r="CU205" s="59">
        <f t="shared" si="249"/>
        <v>0</v>
      </c>
      <c r="CV205" s="79">
        <f t="shared" si="250"/>
        <v>0</v>
      </c>
      <c r="CW205" s="82" t="str">
        <f t="shared" si="235"/>
        <v>-</v>
      </c>
      <c r="CX205" s="65" t="str">
        <f t="shared" si="236"/>
        <v>valid</v>
      </c>
      <c r="CY205" s="66" t="str">
        <f t="shared" si="251"/>
        <v>MGSp</v>
      </c>
      <c r="CZ205" s="81">
        <f t="shared" si="237"/>
        <v>78.466086000000018</v>
      </c>
      <c r="DA205" s="59">
        <f t="shared" si="238"/>
        <v>23.204040599999999</v>
      </c>
      <c r="DB205" s="59">
        <f t="shared" si="239"/>
        <v>0</v>
      </c>
      <c r="DC205" s="59">
        <f t="shared" si="240"/>
        <v>22.817306589999998</v>
      </c>
      <c r="DD205" s="59">
        <f t="shared" si="241"/>
        <v>0</v>
      </c>
      <c r="DE205" s="79">
        <f t="shared" si="242"/>
        <v>77.987450520000024</v>
      </c>
      <c r="DF205" s="83">
        <f t="shared" si="243"/>
        <v>101.67012660000002</v>
      </c>
    </row>
    <row r="206" spans="2:111" ht="16.5" customHeight="1" x14ac:dyDescent="0.25">
      <c r="B206" s="47"/>
      <c r="C206" s="168" t="s">
        <v>668</v>
      </c>
      <c r="D206" s="169" t="s">
        <v>170</v>
      </c>
      <c r="E206" s="170" t="s">
        <v>494</v>
      </c>
      <c r="F206" s="50">
        <f t="shared" si="244"/>
        <v>0.85869164847904833</v>
      </c>
      <c r="G206" s="50" t="str">
        <f t="shared" ca="1" si="245"/>
        <v>No</v>
      </c>
      <c r="H206" s="51" t="str">
        <f t="shared" si="246"/>
        <v>Main - Genoa - Spinnaker</v>
      </c>
      <c r="I206" s="171">
        <v>39751</v>
      </c>
      <c r="J206" s="171">
        <v>41105</v>
      </c>
      <c r="K206" s="172" t="s">
        <v>303</v>
      </c>
      <c r="L206" s="172" t="s">
        <v>143</v>
      </c>
      <c r="M206" s="171"/>
      <c r="N206" s="87" t="s">
        <v>537</v>
      </c>
      <c r="O206" s="87"/>
      <c r="P206" s="174"/>
      <c r="Q206" s="175">
        <v>7.32</v>
      </c>
      <c r="R206" s="78"/>
      <c r="S206" s="59">
        <f t="shared" si="218"/>
        <v>0.18300000000000002</v>
      </c>
      <c r="T206" s="176">
        <v>0.14000000000000001</v>
      </c>
      <c r="U206" s="176"/>
      <c r="V206" s="61">
        <f t="shared" si="219"/>
        <v>7.1800000000000006</v>
      </c>
      <c r="W206" s="62">
        <f>IF(RL&gt;0,IF(RL&gt;'Look Ups'!R$7,'Look Ups'!R$8,('Look Ups'!R$3*RL^3+'Look Ups'!R$4*RL^2+'Look Ups'!R$5*RL+'Look Ups'!R$6)),0)</f>
        <v>0.29055146565600004</v>
      </c>
      <c r="X206" s="177">
        <v>995</v>
      </c>
      <c r="Y206" s="178"/>
      <c r="Z206" s="178"/>
      <c r="AA206" s="178"/>
      <c r="AB206" s="65">
        <f t="shared" si="220"/>
        <v>995</v>
      </c>
      <c r="AC206" s="66">
        <f t="shared" si="221"/>
        <v>995</v>
      </c>
      <c r="AD206" s="179" t="s">
        <v>129</v>
      </c>
      <c r="AE206" s="180" t="s">
        <v>130</v>
      </c>
      <c r="AF206" s="181" t="s">
        <v>131</v>
      </c>
      <c r="AG206" s="70">
        <f>IF(C206="",0,VLOOKUP(AD206,'Look Ups'!$B$3:$C$6,2,0)*VLOOKUP(AE206,'Look Ups'!$E$3:$F$5,2,0)*VLOOKUP(AF206,'Look Ups'!$H$3:$I$7,2,0))</f>
        <v>1</v>
      </c>
      <c r="AH206" s="80">
        <v>10.02</v>
      </c>
      <c r="AI206" s="77">
        <v>9.85</v>
      </c>
      <c r="AJ206" s="77">
        <v>3.1</v>
      </c>
      <c r="AK206" s="77">
        <v>0.74</v>
      </c>
      <c r="AL206" s="77">
        <v>0.89</v>
      </c>
      <c r="AM206" s="77">
        <v>9.57</v>
      </c>
      <c r="AN206" s="77">
        <v>0.05</v>
      </c>
      <c r="AO206" s="77">
        <v>3.24</v>
      </c>
      <c r="AP206" s="77">
        <v>0</v>
      </c>
      <c r="AQ206" s="77">
        <v>0.49</v>
      </c>
      <c r="AR206" s="77" t="s">
        <v>132</v>
      </c>
      <c r="AS206" s="87"/>
      <c r="AT206" s="59">
        <f t="shared" si="222"/>
        <v>9.57</v>
      </c>
      <c r="AU206" s="59">
        <f t="shared" si="223"/>
        <v>1.7584875</v>
      </c>
      <c r="AV206" s="72">
        <f>IF(C206="",0,(0.5*(_ML1*LPM)+0.5*(_ML1*HB)+0.66*(P*PR)+0.66*(_ML2*RDM)+0.66*(E*ER))*VLOOKUP(BATT,'Look Ups'!$N$3:$O$4,2,0))</f>
        <v>25.3401</v>
      </c>
      <c r="AW206" s="182"/>
      <c r="AX206" s="183"/>
      <c r="AY206" s="80">
        <v>8.82</v>
      </c>
      <c r="AZ206" s="77">
        <v>2.5</v>
      </c>
      <c r="BA206" s="77">
        <v>2.81</v>
      </c>
      <c r="BB206" s="77">
        <v>0.12</v>
      </c>
      <c r="BC206" s="77">
        <v>8.77</v>
      </c>
      <c r="BD206" s="77"/>
      <c r="BE206" s="77"/>
      <c r="BF206" s="77">
        <v>0.31</v>
      </c>
      <c r="BG206" s="77">
        <v>0</v>
      </c>
      <c r="BH206" s="87"/>
      <c r="BI206" s="72">
        <f t="shared" si="224"/>
        <v>13.041894000000001</v>
      </c>
      <c r="BJ206" s="76"/>
      <c r="BK206" s="77"/>
      <c r="BL206" s="78"/>
      <c r="BM206" s="78"/>
      <c r="BN206" s="77"/>
      <c r="BO206" s="78"/>
      <c r="BP206" s="78"/>
      <c r="BQ206" s="79">
        <f t="shared" si="225"/>
        <v>0</v>
      </c>
      <c r="BR206" s="80"/>
      <c r="BS206" s="77"/>
      <c r="BT206" s="77"/>
      <c r="BU206" s="77"/>
      <c r="BV206" s="77"/>
      <c r="BW206" s="77"/>
      <c r="BX206" s="77"/>
      <c r="BY206" s="72">
        <f t="shared" si="226"/>
        <v>0</v>
      </c>
      <c r="BZ206" s="182">
        <v>7.5</v>
      </c>
      <c r="CA206" s="77">
        <v>10.9</v>
      </c>
      <c r="CB206" s="77">
        <v>10.4</v>
      </c>
      <c r="CC206" s="77">
        <v>6.17</v>
      </c>
      <c r="CD206" s="65">
        <f t="shared" si="227"/>
        <v>82.266666666666666</v>
      </c>
      <c r="CE206" s="77"/>
      <c r="CF206" s="79">
        <f t="shared" si="228"/>
        <v>57.119500000000002</v>
      </c>
      <c r="CG206" s="80"/>
      <c r="CH206" s="77"/>
      <c r="CI206" s="77"/>
      <c r="CJ206" s="77"/>
      <c r="CK206" s="59" t="str">
        <f t="shared" si="247"/>
        <v/>
      </c>
      <c r="CL206" s="77"/>
      <c r="CM206" s="72">
        <f t="shared" si="229"/>
        <v>0</v>
      </c>
      <c r="CN206" s="81">
        <f t="shared" si="230"/>
        <v>1</v>
      </c>
      <c r="CO206" s="59">
        <f t="shared" si="231"/>
        <v>27.098587500000001</v>
      </c>
      <c r="CP206" s="59">
        <f t="shared" si="232"/>
        <v>1</v>
      </c>
      <c r="CQ206" s="59">
        <f t="shared" si="233"/>
        <v>13.041894000000001</v>
      </c>
      <c r="CR206" s="59">
        <f>IF(AV206&gt;0,'Look Ups'!$L$3,0)</f>
        <v>1</v>
      </c>
      <c r="CS206" s="59">
        <f t="shared" si="234"/>
        <v>0</v>
      </c>
      <c r="CT206" s="59">
        <f t="shared" si="248"/>
        <v>0</v>
      </c>
      <c r="CU206" s="59">
        <f t="shared" si="249"/>
        <v>0</v>
      </c>
      <c r="CV206" s="79">
        <f t="shared" si="250"/>
        <v>0</v>
      </c>
      <c r="CW206" s="82" t="str">
        <f t="shared" si="235"/>
        <v>-</v>
      </c>
      <c r="CX206" s="65" t="str">
        <f t="shared" si="236"/>
        <v>valid</v>
      </c>
      <c r="CY206" s="66" t="str">
        <f t="shared" si="251"/>
        <v>MGSp</v>
      </c>
      <c r="CZ206" s="81">
        <f t="shared" si="237"/>
        <v>40.1404815</v>
      </c>
      <c r="DA206" s="59">
        <f t="shared" si="238"/>
        <v>13.223281800000001</v>
      </c>
      <c r="DB206" s="59">
        <f t="shared" si="239"/>
        <v>0</v>
      </c>
      <c r="DC206" s="59">
        <f t="shared" si="240"/>
        <v>13.00289377</v>
      </c>
      <c r="DD206" s="59">
        <f t="shared" si="241"/>
        <v>0</v>
      </c>
      <c r="DE206" s="79">
        <f t="shared" si="242"/>
        <v>41.658604398000001</v>
      </c>
      <c r="DF206" s="83">
        <f t="shared" si="243"/>
        <v>53.363763300000002</v>
      </c>
    </row>
    <row r="207" spans="2:111" ht="16.5" customHeight="1" x14ac:dyDescent="0.25">
      <c r="B207" s="168"/>
      <c r="C207" s="47" t="s">
        <v>981</v>
      </c>
      <c r="D207" s="48" t="s">
        <v>982</v>
      </c>
      <c r="E207" s="49" t="s">
        <v>899</v>
      </c>
      <c r="F207" s="50">
        <f t="shared" si="244"/>
        <v>1.0509745144677183</v>
      </c>
      <c r="G207" s="50" t="str">
        <f t="shared" ca="1" si="245"/>
        <v>Yes</v>
      </c>
      <c r="H207" s="51" t="str">
        <f t="shared" si="246"/>
        <v>Main - Genoa - Screacher</v>
      </c>
      <c r="I207" s="52">
        <v>43682</v>
      </c>
      <c r="J207" s="52">
        <v>43682</v>
      </c>
      <c r="K207" s="53" t="s">
        <v>904</v>
      </c>
      <c r="L207" s="53" t="s">
        <v>841</v>
      </c>
      <c r="M207" s="54" t="s">
        <v>993</v>
      </c>
      <c r="N207" s="75" t="s">
        <v>127</v>
      </c>
      <c r="O207" s="75" t="s">
        <v>992</v>
      </c>
      <c r="P207" s="85"/>
      <c r="Q207" s="57">
        <v>9.9700000000000006</v>
      </c>
      <c r="R207" s="58"/>
      <c r="S207" s="59">
        <f t="shared" si="218"/>
        <v>0.24925000000000003</v>
      </c>
      <c r="T207" s="60"/>
      <c r="U207" s="60"/>
      <c r="V207" s="61">
        <f t="shared" si="219"/>
        <v>9.9700000000000006</v>
      </c>
      <c r="W207" s="62">
        <f>IF(RL&gt;0,IF(RL&gt;'Look Ups'!R$7,'Look Ups'!R$8,('Look Ups'!R$3*RL^3+'Look Ups'!R$4*RL^2+'Look Ups'!R$5*RL+'Look Ups'!R$6)),0)</f>
        <v>0.29845763010900001</v>
      </c>
      <c r="X207" s="63">
        <v>1588</v>
      </c>
      <c r="Y207" s="64"/>
      <c r="Z207" s="64"/>
      <c r="AA207" s="64"/>
      <c r="AB207" s="65">
        <f t="shared" si="220"/>
        <v>1588</v>
      </c>
      <c r="AC207" s="66">
        <f t="shared" si="221"/>
        <v>1588</v>
      </c>
      <c r="AD207" s="67" t="s">
        <v>129</v>
      </c>
      <c r="AE207" s="68" t="s">
        <v>130</v>
      </c>
      <c r="AF207" s="69" t="s">
        <v>131</v>
      </c>
      <c r="AG207" s="70">
        <f>IF(C207="",0,VLOOKUP(AD207,'Look Ups'!$B$3:$C$6,2,0)*VLOOKUP(AE207,'Look Ups'!$E$3:$F$5,2,0)*VLOOKUP(AF207,'Look Ups'!$H$3:$I$7,2,0))</f>
        <v>1</v>
      </c>
      <c r="AH207" s="71">
        <v>15.65</v>
      </c>
      <c r="AI207" s="60">
        <v>15.35</v>
      </c>
      <c r="AJ207" s="60">
        <v>4.18</v>
      </c>
      <c r="AK207" s="60">
        <v>1.67</v>
      </c>
      <c r="AL207" s="60">
        <v>0.38</v>
      </c>
      <c r="AM207" s="60">
        <v>15.98</v>
      </c>
      <c r="AN207" s="60">
        <v>0.13</v>
      </c>
      <c r="AO207" s="60">
        <v>4.1900000000000004</v>
      </c>
      <c r="AP207" s="60">
        <v>0.14000000000000001</v>
      </c>
      <c r="AQ207" s="60">
        <v>0.65</v>
      </c>
      <c r="AR207" s="60" t="s">
        <v>132</v>
      </c>
      <c r="AS207" s="75"/>
      <c r="AT207" s="59">
        <f t="shared" si="222"/>
        <v>16.12</v>
      </c>
      <c r="AU207" s="59">
        <f t="shared" si="223"/>
        <v>3.8951249999999997</v>
      </c>
      <c r="AV207" s="72">
        <f>IF(C207="",0,(0.5*(_ML1*LPM)+0.5*(_ML1*HB)+0.66*(P*PR)+0.66*(_ML2*RDM)+0.66*(E*ER))*VLOOKUP(BATT,'Look Ups'!$N$3:$O$4,2,0))</f>
        <v>51.384270000000008</v>
      </c>
      <c r="AW207" s="73"/>
      <c r="AX207" s="74"/>
      <c r="AY207" s="71">
        <v>13.6</v>
      </c>
      <c r="AZ207" s="60">
        <v>3.6</v>
      </c>
      <c r="BA207" s="60">
        <v>3.87</v>
      </c>
      <c r="BB207" s="60">
        <v>0.2</v>
      </c>
      <c r="BC207" s="60">
        <v>12.63</v>
      </c>
      <c r="BD207" s="60">
        <v>12.5</v>
      </c>
      <c r="BE207" s="60">
        <v>0.37</v>
      </c>
      <c r="BF207" s="60">
        <v>-0.11</v>
      </c>
      <c r="BG207" s="60">
        <v>0.04</v>
      </c>
      <c r="BH207" s="75"/>
      <c r="BI207" s="72">
        <f t="shared" si="224"/>
        <v>26.778930000000003</v>
      </c>
      <c r="BJ207" s="76"/>
      <c r="BK207" s="77"/>
      <c r="BL207" s="78"/>
      <c r="BM207" s="78"/>
      <c r="BN207" s="77"/>
      <c r="BO207" s="78"/>
      <c r="BP207" s="78"/>
      <c r="BQ207" s="79">
        <f t="shared" si="225"/>
        <v>0</v>
      </c>
      <c r="BR207" s="80"/>
      <c r="BS207" s="77"/>
      <c r="BT207" s="77"/>
      <c r="BU207" s="77"/>
      <c r="BV207" s="77"/>
      <c r="BW207" s="77"/>
      <c r="BX207" s="77"/>
      <c r="BY207" s="72">
        <f t="shared" si="226"/>
        <v>0</v>
      </c>
      <c r="BZ207" s="73"/>
      <c r="CA207" s="60"/>
      <c r="CB207" s="60"/>
      <c r="CC207" s="60"/>
      <c r="CD207" s="65" t="str">
        <f t="shared" si="227"/>
        <v/>
      </c>
      <c r="CE207" s="60"/>
      <c r="CF207" s="79">
        <f t="shared" si="228"/>
        <v>0</v>
      </c>
      <c r="CG207" s="71">
        <v>8.7100000000000009</v>
      </c>
      <c r="CH207" s="60">
        <v>16.850000000000001</v>
      </c>
      <c r="CI207" s="60">
        <v>15.23</v>
      </c>
      <c r="CJ207" s="60">
        <v>4.41</v>
      </c>
      <c r="CK207" s="59">
        <f t="shared" si="247"/>
        <v>50.631458094144655</v>
      </c>
      <c r="CL207" s="75"/>
      <c r="CM207" s="72">
        <f t="shared" si="229"/>
        <v>70.442333333333337</v>
      </c>
      <c r="CN207" s="81">
        <f t="shared" si="230"/>
        <v>1</v>
      </c>
      <c r="CO207" s="59">
        <f t="shared" si="231"/>
        <v>55.279395000000008</v>
      </c>
      <c r="CP207" s="59">
        <f t="shared" si="232"/>
        <v>1</v>
      </c>
      <c r="CQ207" s="59">
        <f t="shared" si="233"/>
        <v>26.778930000000003</v>
      </c>
      <c r="CR207" s="59">
        <f>IF(AV207&gt;0,'Look Ups'!$L$3,0)</f>
        <v>1</v>
      </c>
      <c r="CS207" s="59">
        <f t="shared" si="234"/>
        <v>0</v>
      </c>
      <c r="CT207" s="59">
        <f t="shared" si="248"/>
        <v>0</v>
      </c>
      <c r="CU207" s="59">
        <f t="shared" si="249"/>
        <v>0</v>
      </c>
      <c r="CV207" s="79">
        <f t="shared" si="250"/>
        <v>0</v>
      </c>
      <c r="CW207" s="82" t="str">
        <f t="shared" si="235"/>
        <v>valid</v>
      </c>
      <c r="CX207" s="65" t="str">
        <f t="shared" si="236"/>
        <v>-</v>
      </c>
      <c r="CY207" s="66" t="str">
        <f t="shared" si="251"/>
        <v>MGScr</v>
      </c>
      <c r="CZ207" s="81">
        <f t="shared" si="237"/>
        <v>82.058325000000011</v>
      </c>
      <c r="DA207" s="59">
        <f t="shared" si="238"/>
        <v>0</v>
      </c>
      <c r="DB207" s="59">
        <f t="shared" si="239"/>
        <v>15.282191166666665</v>
      </c>
      <c r="DC207" s="59">
        <f t="shared" si="240"/>
        <v>0</v>
      </c>
      <c r="DD207" s="59">
        <f t="shared" si="241"/>
        <v>2.4014871833333333</v>
      </c>
      <c r="DE207" s="79">
        <f t="shared" si="242"/>
        <v>85.136375220000005</v>
      </c>
      <c r="DF207" s="83">
        <f t="shared" si="243"/>
        <v>97.340516166666674</v>
      </c>
    </row>
    <row r="208" spans="2:111" ht="16.5" customHeight="1" x14ac:dyDescent="0.25">
      <c r="B208" s="47"/>
      <c r="C208" s="168" t="s">
        <v>669</v>
      </c>
      <c r="D208" s="169"/>
      <c r="E208" s="170" t="s">
        <v>670</v>
      </c>
      <c r="F208" s="50">
        <f t="shared" si="244"/>
        <v>0.67816270528427902</v>
      </c>
      <c r="G208" s="50" t="str">
        <f t="shared" ca="1" si="245"/>
        <v>No</v>
      </c>
      <c r="H208" s="51" t="str">
        <f t="shared" si="246"/>
        <v>Main - Genoa - Screacher</v>
      </c>
      <c r="I208" s="171">
        <v>39757</v>
      </c>
      <c r="J208" s="171">
        <v>39757</v>
      </c>
      <c r="K208" s="172"/>
      <c r="L208" s="172" t="s">
        <v>143</v>
      </c>
      <c r="M208" s="171"/>
      <c r="N208" s="173"/>
      <c r="O208" s="173"/>
      <c r="P208" s="174"/>
      <c r="Q208" s="175">
        <v>13.5</v>
      </c>
      <c r="R208" s="78"/>
      <c r="S208" s="59">
        <f t="shared" si="218"/>
        <v>0.33750000000000002</v>
      </c>
      <c r="T208" s="176">
        <v>0.5</v>
      </c>
      <c r="U208" s="176"/>
      <c r="V208" s="61">
        <f t="shared" si="219"/>
        <v>13</v>
      </c>
      <c r="W208" s="62">
        <f>IF(RL&gt;0,IF(RL&gt;'Look Ups'!R$7,'Look Ups'!R$8,('Look Ups'!R$3*RL^3+'Look Ups'!R$4*RL^2+'Look Ups'!R$5*RL+'Look Ups'!R$6)),0)</f>
        <v>0.3</v>
      </c>
      <c r="X208" s="177">
        <v>6250</v>
      </c>
      <c r="Y208" s="178"/>
      <c r="Z208" s="178"/>
      <c r="AA208" s="178"/>
      <c r="AB208" s="65">
        <f t="shared" si="220"/>
        <v>6250</v>
      </c>
      <c r="AC208" s="66">
        <f t="shared" si="221"/>
        <v>6250</v>
      </c>
      <c r="AD208" s="179" t="s">
        <v>129</v>
      </c>
      <c r="AE208" s="180" t="s">
        <v>130</v>
      </c>
      <c r="AF208" s="181" t="s">
        <v>131</v>
      </c>
      <c r="AG208" s="70">
        <f>IF(C208="",0,VLOOKUP(AD208,'Look Ups'!$B$3:$C$6,2,0)*VLOOKUP(AE208,'Look Ups'!$E$3:$F$5,2,0)*VLOOKUP(AF208,'Look Ups'!$H$3:$I$7,2,0))</f>
        <v>1</v>
      </c>
      <c r="AH208" s="80">
        <v>14.34</v>
      </c>
      <c r="AI208" s="77">
        <v>13.65</v>
      </c>
      <c r="AJ208" s="77">
        <v>4.7</v>
      </c>
      <c r="AK208" s="77">
        <v>1</v>
      </c>
      <c r="AL208" s="77">
        <v>0.60000000000000009</v>
      </c>
      <c r="AM208" s="77">
        <v>14.2</v>
      </c>
      <c r="AN208" s="77">
        <v>0.15</v>
      </c>
      <c r="AO208" s="77">
        <v>4.9000000000000004</v>
      </c>
      <c r="AP208" s="77"/>
      <c r="AQ208" s="77"/>
      <c r="AR208" s="77" t="s">
        <v>132</v>
      </c>
      <c r="AS208" s="87"/>
      <c r="AT208" s="59">
        <f t="shared" si="222"/>
        <v>14.2</v>
      </c>
      <c r="AU208" s="59">
        <f t="shared" si="223"/>
        <v>0</v>
      </c>
      <c r="AV208" s="72">
        <f>IF(C208="",0,(0.5*(_ML1*LPM)+0.5*(_ML1*HB)+0.66*(P*PR)+0.66*(_ML2*RDM)+0.66*(E*ER))*VLOOKUP(BATT,'Look Ups'!$N$3:$O$4,2,0))</f>
        <v>47.680199999999999</v>
      </c>
      <c r="AW208" s="182"/>
      <c r="AX208" s="183"/>
      <c r="AY208" s="80">
        <v>11.75</v>
      </c>
      <c r="AZ208" s="77">
        <v>3</v>
      </c>
      <c r="BA208" s="77">
        <v>3.4</v>
      </c>
      <c r="BB208" s="77">
        <v>0.08</v>
      </c>
      <c r="BC208" s="77">
        <v>13</v>
      </c>
      <c r="BD208" s="77"/>
      <c r="BE208" s="77"/>
      <c r="BF208" s="77">
        <v>0</v>
      </c>
      <c r="BG208" s="77">
        <v>-0.30000000000000004</v>
      </c>
      <c r="BH208" s="87"/>
      <c r="BI208" s="72">
        <f t="shared" si="224"/>
        <v>15.478019999999999</v>
      </c>
      <c r="BJ208" s="76"/>
      <c r="BK208" s="77"/>
      <c r="BL208" s="78"/>
      <c r="BM208" s="78"/>
      <c r="BN208" s="77"/>
      <c r="BO208" s="78"/>
      <c r="BP208" s="78"/>
      <c r="BQ208" s="79">
        <f t="shared" si="225"/>
        <v>0</v>
      </c>
      <c r="BR208" s="80"/>
      <c r="BS208" s="77"/>
      <c r="BT208" s="77"/>
      <c r="BU208" s="77"/>
      <c r="BV208" s="77"/>
      <c r="BW208" s="77"/>
      <c r="BX208" s="77"/>
      <c r="BY208" s="72">
        <f t="shared" si="226"/>
        <v>0</v>
      </c>
      <c r="BZ208" s="182"/>
      <c r="CA208" s="77"/>
      <c r="CB208" s="77"/>
      <c r="CC208" s="77"/>
      <c r="CD208" s="65" t="str">
        <f t="shared" si="227"/>
        <v/>
      </c>
      <c r="CE208" s="77"/>
      <c r="CF208" s="79">
        <f t="shared" si="228"/>
        <v>0</v>
      </c>
      <c r="CG208" s="80">
        <v>8.3000000000000007</v>
      </c>
      <c r="CH208" s="77">
        <v>14.9</v>
      </c>
      <c r="CI208" s="77">
        <v>13.9</v>
      </c>
      <c r="CJ208" s="77">
        <v>4.7</v>
      </c>
      <c r="CK208" s="59">
        <f t="shared" si="247"/>
        <v>56.626506024096379</v>
      </c>
      <c r="CL208" s="77"/>
      <c r="CM208" s="72">
        <f t="shared" si="229"/>
        <v>65.040000000000006</v>
      </c>
      <c r="CN208" s="81">
        <f t="shared" si="230"/>
        <v>1</v>
      </c>
      <c r="CO208" s="59">
        <f t="shared" si="231"/>
        <v>47.680199999999999</v>
      </c>
      <c r="CP208" s="59">
        <f t="shared" si="232"/>
        <v>1</v>
      </c>
      <c r="CQ208" s="59">
        <f t="shared" si="233"/>
        <v>15.478019999999999</v>
      </c>
      <c r="CR208" s="59">
        <f>IF(AV208&gt;0,'Look Ups'!$L$3,0)</f>
        <v>1</v>
      </c>
      <c r="CS208" s="59">
        <f t="shared" si="234"/>
        <v>0</v>
      </c>
      <c r="CT208" s="59">
        <f t="shared" si="248"/>
        <v>0</v>
      </c>
      <c r="CU208" s="59">
        <f t="shared" si="249"/>
        <v>0</v>
      </c>
      <c r="CV208" s="79">
        <f t="shared" si="250"/>
        <v>0</v>
      </c>
      <c r="CW208" s="82" t="str">
        <f t="shared" si="235"/>
        <v>valid</v>
      </c>
      <c r="CX208" s="65" t="str">
        <f t="shared" si="236"/>
        <v>-</v>
      </c>
      <c r="CY208" s="66" t="str">
        <f t="shared" si="251"/>
        <v>MGScr</v>
      </c>
      <c r="CZ208" s="81">
        <f t="shared" si="237"/>
        <v>63.15822</v>
      </c>
      <c r="DA208" s="59">
        <f t="shared" si="238"/>
        <v>0</v>
      </c>
      <c r="DB208" s="59">
        <f t="shared" si="239"/>
        <v>17.346693000000002</v>
      </c>
      <c r="DC208" s="59">
        <f t="shared" si="240"/>
        <v>0</v>
      </c>
      <c r="DD208" s="59">
        <f t="shared" si="241"/>
        <v>2.7259089000000003</v>
      </c>
      <c r="DE208" s="79">
        <f t="shared" si="242"/>
        <v>66.636055440000007</v>
      </c>
      <c r="DF208" s="83">
        <f t="shared" si="243"/>
        <v>80.504913000000002</v>
      </c>
    </row>
    <row r="209" spans="2:110" ht="16.5" customHeight="1" x14ac:dyDescent="0.25">
      <c r="B209" s="168"/>
      <c r="C209" s="168" t="s">
        <v>671</v>
      </c>
      <c r="D209" s="169" t="s">
        <v>672</v>
      </c>
      <c r="E209" s="170" t="s">
        <v>673</v>
      </c>
      <c r="F209" s="50">
        <f t="shared" si="244"/>
        <v>0.85407867580736896</v>
      </c>
      <c r="G209" s="50" t="str">
        <f t="shared" ca="1" si="245"/>
        <v>No</v>
      </c>
      <c r="H209" s="51" t="str">
        <f t="shared" si="246"/>
        <v>Main - Genoa - Spinnaker</v>
      </c>
      <c r="I209" s="171">
        <v>38428</v>
      </c>
      <c r="J209" s="171"/>
      <c r="K209" s="172" t="s">
        <v>218</v>
      </c>
      <c r="L209" s="172" t="s">
        <v>187</v>
      </c>
      <c r="M209" s="171"/>
      <c r="N209" s="87" t="s">
        <v>537</v>
      </c>
      <c r="O209" s="87"/>
      <c r="P209" s="186">
        <v>6.1</v>
      </c>
      <c r="Q209" s="175">
        <v>8.74</v>
      </c>
      <c r="R209" s="78"/>
      <c r="S209" s="59">
        <f t="shared" si="218"/>
        <v>0.21850000000000003</v>
      </c>
      <c r="T209" s="176">
        <v>0.18</v>
      </c>
      <c r="U209" s="176">
        <v>0</v>
      </c>
      <c r="V209" s="61">
        <f t="shared" si="219"/>
        <v>8.56</v>
      </c>
      <c r="W209" s="62">
        <f>IF(RL&gt;0,IF(RL&gt;'Look Ups'!R$7,'Look Ups'!R$8,('Look Ups'!R$3*RL^3+'Look Ups'!R$4*RL^2+'Look Ups'!R$5*RL+'Look Ups'!R$6)),0)</f>
        <v>0.29553528652800004</v>
      </c>
      <c r="X209" s="177">
        <v>1598</v>
      </c>
      <c r="Y209" s="178"/>
      <c r="Z209" s="178"/>
      <c r="AA209" s="178"/>
      <c r="AB209" s="65">
        <f t="shared" si="220"/>
        <v>1598</v>
      </c>
      <c r="AC209" s="66">
        <f t="shared" si="221"/>
        <v>1598</v>
      </c>
      <c r="AD209" s="179" t="s">
        <v>129</v>
      </c>
      <c r="AE209" s="180" t="s">
        <v>130</v>
      </c>
      <c r="AF209" s="181" t="s">
        <v>131</v>
      </c>
      <c r="AG209" s="70">
        <f>IF(C209="",0,VLOOKUP(AD209,'Look Ups'!$B$3:$C$6,2,0)*VLOOKUP(AE209,'Look Ups'!$E$3:$F$5,2,0)*VLOOKUP(AF209,'Look Ups'!$H$3:$I$7,2,0))</f>
        <v>1</v>
      </c>
      <c r="AH209" s="80">
        <v>11.21</v>
      </c>
      <c r="AI209" s="77">
        <v>10.49</v>
      </c>
      <c r="AJ209" s="77">
        <v>3.47</v>
      </c>
      <c r="AK209" s="77">
        <v>0.76</v>
      </c>
      <c r="AL209" s="77">
        <v>1.04</v>
      </c>
      <c r="AM209" s="77">
        <v>10.85</v>
      </c>
      <c r="AN209" s="77">
        <v>0.17</v>
      </c>
      <c r="AO209" s="77">
        <v>3.6</v>
      </c>
      <c r="AP209" s="77">
        <v>0.03</v>
      </c>
      <c r="AQ209" s="77">
        <v>0.48</v>
      </c>
      <c r="AR209" s="77" t="s">
        <v>132</v>
      </c>
      <c r="AS209" s="87">
        <v>0</v>
      </c>
      <c r="AT209" s="59">
        <f t="shared" si="222"/>
        <v>10.879999999999999</v>
      </c>
      <c r="AU209" s="59">
        <f t="shared" si="223"/>
        <v>1.9529999999999998</v>
      </c>
      <c r="AV209" s="72">
        <f>IF(C209="",0,(0.5*(_ML1*LPM)+0.5*(_ML1*HB)+0.66*(P*PR)+0.66*(_ML2*RDM)+0.66*(E*ER))*VLOOKUP(BATT,'Look Ups'!$N$3:$O$4,2,0))</f>
        <v>32.198136000000005</v>
      </c>
      <c r="AW209" s="182"/>
      <c r="AX209" s="183"/>
      <c r="AY209" s="80">
        <v>9.44</v>
      </c>
      <c r="AZ209" s="77">
        <v>3.36</v>
      </c>
      <c r="BA209" s="77">
        <v>3.69</v>
      </c>
      <c r="BB209" s="77">
        <v>0.15</v>
      </c>
      <c r="BC209" s="77">
        <v>8.61</v>
      </c>
      <c r="BD209" s="77"/>
      <c r="BE209" s="77"/>
      <c r="BF209" s="77">
        <v>0.15</v>
      </c>
      <c r="BG209" s="77">
        <v>0.05</v>
      </c>
      <c r="BH209" s="87"/>
      <c r="BI209" s="72">
        <f t="shared" si="224"/>
        <v>17.38842</v>
      </c>
      <c r="BJ209" s="76"/>
      <c r="BK209" s="77"/>
      <c r="BL209" s="78"/>
      <c r="BM209" s="78"/>
      <c r="BN209" s="77"/>
      <c r="BO209" s="78"/>
      <c r="BP209" s="78"/>
      <c r="BQ209" s="79">
        <f t="shared" si="225"/>
        <v>0</v>
      </c>
      <c r="BR209" s="80"/>
      <c r="BS209" s="77"/>
      <c r="BT209" s="77"/>
      <c r="BU209" s="77"/>
      <c r="BV209" s="77"/>
      <c r="BW209" s="77"/>
      <c r="BX209" s="77"/>
      <c r="BY209" s="72">
        <f t="shared" si="226"/>
        <v>0</v>
      </c>
      <c r="BZ209" s="182">
        <v>8.35</v>
      </c>
      <c r="CA209" s="77">
        <v>11.72</v>
      </c>
      <c r="CB209" s="77">
        <v>10.26</v>
      </c>
      <c r="CC209" s="77">
        <v>7</v>
      </c>
      <c r="CD209" s="65">
        <f t="shared" si="227"/>
        <v>83.832335329341319</v>
      </c>
      <c r="CE209" s="77">
        <v>0</v>
      </c>
      <c r="CF209" s="79">
        <f t="shared" si="228"/>
        <v>66.581083333333339</v>
      </c>
      <c r="CG209" s="80"/>
      <c r="CH209" s="77"/>
      <c r="CI209" s="77"/>
      <c r="CJ209" s="77"/>
      <c r="CK209" s="59" t="str">
        <f t="shared" si="247"/>
        <v/>
      </c>
      <c r="CL209" s="77">
        <v>0</v>
      </c>
      <c r="CM209" s="72">
        <f t="shared" si="229"/>
        <v>0</v>
      </c>
      <c r="CN209" s="81">
        <f t="shared" si="230"/>
        <v>1</v>
      </c>
      <c r="CO209" s="59">
        <f t="shared" si="231"/>
        <v>34.151136000000008</v>
      </c>
      <c r="CP209" s="59">
        <f t="shared" si="232"/>
        <v>1</v>
      </c>
      <c r="CQ209" s="59">
        <f t="shared" si="233"/>
        <v>17.38842</v>
      </c>
      <c r="CR209" s="59">
        <f>IF(AV209&gt;0,'Look Ups'!$L$3,0)</f>
        <v>1</v>
      </c>
      <c r="CS209" s="59">
        <f t="shared" si="234"/>
        <v>0</v>
      </c>
      <c r="CT209" s="59">
        <f t="shared" si="248"/>
        <v>0</v>
      </c>
      <c r="CU209" s="59">
        <f t="shared" si="249"/>
        <v>0</v>
      </c>
      <c r="CV209" s="79">
        <f t="shared" si="250"/>
        <v>0</v>
      </c>
      <c r="CW209" s="82" t="str">
        <f t="shared" si="235"/>
        <v>-</v>
      </c>
      <c r="CX209" s="65" t="str">
        <f t="shared" si="236"/>
        <v>valid</v>
      </c>
      <c r="CY209" s="66" t="str">
        <f t="shared" si="251"/>
        <v>MGSp</v>
      </c>
      <c r="CZ209" s="81">
        <f t="shared" si="237"/>
        <v>51.539556000000005</v>
      </c>
      <c r="DA209" s="59">
        <f t="shared" si="238"/>
        <v>14.757799000000002</v>
      </c>
      <c r="DB209" s="59">
        <f t="shared" si="239"/>
        <v>0</v>
      </c>
      <c r="DC209" s="59">
        <f t="shared" si="240"/>
        <v>14.511835683333336</v>
      </c>
      <c r="DD209" s="59">
        <f t="shared" si="241"/>
        <v>0</v>
      </c>
      <c r="DE209" s="79">
        <f t="shared" si="242"/>
        <v>53.349929328000009</v>
      </c>
      <c r="DF209" s="83">
        <f t="shared" si="243"/>
        <v>66.29735500000001</v>
      </c>
    </row>
    <row r="210" spans="2:110" ht="16.5" customHeight="1" x14ac:dyDescent="0.25">
      <c r="B210" s="168"/>
      <c r="C210" s="168" t="s">
        <v>674</v>
      </c>
      <c r="D210" s="169" t="s">
        <v>675</v>
      </c>
      <c r="E210" s="170" t="s">
        <v>676</v>
      </c>
      <c r="F210" s="50">
        <f t="shared" si="244"/>
        <v>0.87653502813810824</v>
      </c>
      <c r="G210" s="50" t="str">
        <f t="shared" ca="1" si="245"/>
        <v>No</v>
      </c>
      <c r="H210" s="51" t="str">
        <f t="shared" si="246"/>
        <v>Main - Genoa - Spinnaker</v>
      </c>
      <c r="I210" s="171">
        <v>38044</v>
      </c>
      <c r="J210" s="171"/>
      <c r="K210" s="172" t="s">
        <v>571</v>
      </c>
      <c r="L210" s="172" t="s">
        <v>387</v>
      </c>
      <c r="M210" s="171"/>
      <c r="N210" s="173" t="s">
        <v>657</v>
      </c>
      <c r="O210" s="173"/>
      <c r="P210" s="186"/>
      <c r="Q210" s="175">
        <v>8.26</v>
      </c>
      <c r="R210" s="78"/>
      <c r="S210" s="59">
        <f t="shared" si="218"/>
        <v>0.20650000000000002</v>
      </c>
      <c r="T210" s="176">
        <v>0</v>
      </c>
      <c r="U210" s="176">
        <v>0</v>
      </c>
      <c r="V210" s="61">
        <f t="shared" si="219"/>
        <v>8.26</v>
      </c>
      <c r="W210" s="62">
        <f>IF(RL&gt;0,IF(RL&gt;'Look Ups'!R$7,'Look Ups'!R$8,('Look Ups'!R$3*RL^3+'Look Ups'!R$4*RL^2+'Look Ups'!R$5*RL+'Look Ups'!R$6)),0)</f>
        <v>0.294648839208</v>
      </c>
      <c r="X210" s="177">
        <v>1629</v>
      </c>
      <c r="Y210" s="178"/>
      <c r="Z210" s="178"/>
      <c r="AA210" s="178"/>
      <c r="AB210" s="65">
        <f t="shared" si="220"/>
        <v>1629</v>
      </c>
      <c r="AC210" s="66">
        <f t="shared" si="221"/>
        <v>1629</v>
      </c>
      <c r="AD210" s="179" t="s">
        <v>129</v>
      </c>
      <c r="AE210" s="180" t="s">
        <v>130</v>
      </c>
      <c r="AF210" s="181" t="s">
        <v>131</v>
      </c>
      <c r="AG210" s="70">
        <f>IF(C210="",0,VLOOKUP(AD210,'Look Ups'!$B$3:$C$6,2,0)*VLOOKUP(AE210,'Look Ups'!$E$3:$F$5,2,0)*VLOOKUP(AF210,'Look Ups'!$H$3:$I$7,2,0))</f>
        <v>1</v>
      </c>
      <c r="AH210" s="80">
        <v>11.87</v>
      </c>
      <c r="AI210" s="77">
        <v>11.65</v>
      </c>
      <c r="AJ210" s="77">
        <v>3.69</v>
      </c>
      <c r="AK210" s="77">
        <v>0.69</v>
      </c>
      <c r="AL210" s="77">
        <v>0.61</v>
      </c>
      <c r="AM210" s="77">
        <v>11.9</v>
      </c>
      <c r="AN210" s="77">
        <v>0.16</v>
      </c>
      <c r="AO210" s="77">
        <v>3.75</v>
      </c>
      <c r="AP210" s="77">
        <v>0.08</v>
      </c>
      <c r="AQ210" s="77">
        <v>0.45</v>
      </c>
      <c r="AR210" s="77" t="s">
        <v>132</v>
      </c>
      <c r="AS210" s="87">
        <v>0</v>
      </c>
      <c r="AT210" s="59">
        <f t="shared" si="222"/>
        <v>11.98</v>
      </c>
      <c r="AU210" s="59">
        <f t="shared" si="223"/>
        <v>2.0081250000000002</v>
      </c>
      <c r="AV210" s="72">
        <f>IF(C210="",0,(0.5*(_ML1*LPM)+0.5*(_ML1*HB)+0.66*(P*PR)+0.66*(_ML2*RDM)+0.66*(E*ER))*VLOOKUP(BATT,'Look Ups'!$N$3:$O$4,2,0))</f>
        <v>32.140230000000003</v>
      </c>
      <c r="AW210" s="182"/>
      <c r="AX210" s="183"/>
      <c r="AY210" s="80">
        <v>10.17</v>
      </c>
      <c r="AZ210" s="77">
        <v>5.4969999999999999</v>
      </c>
      <c r="BA210" s="77">
        <v>5.95</v>
      </c>
      <c r="BB210" s="77">
        <v>0.13</v>
      </c>
      <c r="BC210" s="77">
        <v>9.59</v>
      </c>
      <c r="BD210" s="77"/>
      <c r="BE210" s="77"/>
      <c r="BF210" s="77">
        <v>-0.22</v>
      </c>
      <c r="BG210" s="77">
        <v>0.05</v>
      </c>
      <c r="BH210" s="87"/>
      <c r="BI210" s="72">
        <f t="shared" si="224"/>
        <v>27.405896999999996</v>
      </c>
      <c r="BJ210" s="76"/>
      <c r="BK210" s="77"/>
      <c r="BL210" s="78"/>
      <c r="BM210" s="78"/>
      <c r="BN210" s="77"/>
      <c r="BO210" s="78"/>
      <c r="BP210" s="78"/>
      <c r="BQ210" s="79">
        <f t="shared" si="225"/>
        <v>0</v>
      </c>
      <c r="BR210" s="80"/>
      <c r="BS210" s="77"/>
      <c r="BT210" s="77"/>
      <c r="BU210" s="77"/>
      <c r="BV210" s="77"/>
      <c r="BW210" s="77"/>
      <c r="BX210" s="77"/>
      <c r="BY210" s="72">
        <f t="shared" si="226"/>
        <v>0</v>
      </c>
      <c r="BZ210" s="182">
        <v>6.7</v>
      </c>
      <c r="CA210" s="77">
        <v>13.04</v>
      </c>
      <c r="CB210" s="77">
        <v>11.43</v>
      </c>
      <c r="CC210" s="77">
        <v>6.82</v>
      </c>
      <c r="CD210" s="65">
        <f t="shared" si="227"/>
        <v>101.79104477611941</v>
      </c>
      <c r="CE210" s="77">
        <v>0</v>
      </c>
      <c r="CF210" s="79">
        <f t="shared" si="228"/>
        <v>69.290883333333326</v>
      </c>
      <c r="CG210" s="80"/>
      <c r="CH210" s="77"/>
      <c r="CI210" s="77"/>
      <c r="CJ210" s="77"/>
      <c r="CK210" s="59" t="str">
        <f t="shared" si="247"/>
        <v/>
      </c>
      <c r="CL210" s="77">
        <v>0</v>
      </c>
      <c r="CM210" s="72">
        <f t="shared" si="229"/>
        <v>0</v>
      </c>
      <c r="CN210" s="81">
        <f t="shared" si="230"/>
        <v>1</v>
      </c>
      <c r="CO210" s="59">
        <f t="shared" si="231"/>
        <v>34.148355000000002</v>
      </c>
      <c r="CP210" s="59">
        <f t="shared" si="232"/>
        <v>1</v>
      </c>
      <c r="CQ210" s="59">
        <f t="shared" si="233"/>
        <v>27.405896999999996</v>
      </c>
      <c r="CR210" s="59">
        <f>IF(AV210&gt;0,'Look Ups'!$L$3,0)</f>
        <v>1</v>
      </c>
      <c r="CS210" s="59">
        <f t="shared" si="234"/>
        <v>0</v>
      </c>
      <c r="CT210" s="59">
        <f t="shared" si="248"/>
        <v>0</v>
      </c>
      <c r="CU210" s="59">
        <f t="shared" si="249"/>
        <v>0</v>
      </c>
      <c r="CV210" s="79">
        <f t="shared" si="250"/>
        <v>0</v>
      </c>
      <c r="CW210" s="82" t="str">
        <f t="shared" si="235"/>
        <v>-</v>
      </c>
      <c r="CX210" s="65" t="str">
        <f t="shared" si="236"/>
        <v>valid</v>
      </c>
      <c r="CY210" s="66" t="str">
        <f t="shared" si="251"/>
        <v>MGSp</v>
      </c>
      <c r="CZ210" s="81">
        <f t="shared" si="237"/>
        <v>61.554251999999998</v>
      </c>
      <c r="DA210" s="59">
        <f t="shared" si="238"/>
        <v>12.565495899999998</v>
      </c>
      <c r="DB210" s="59">
        <f t="shared" si="239"/>
        <v>0</v>
      </c>
      <c r="DC210" s="59">
        <f t="shared" si="240"/>
        <v>12.356070968333333</v>
      </c>
      <c r="DD210" s="59">
        <f t="shared" si="241"/>
        <v>0</v>
      </c>
      <c r="DE210" s="79">
        <f t="shared" si="242"/>
        <v>62.282437463999997</v>
      </c>
      <c r="DF210" s="83">
        <f t="shared" si="243"/>
        <v>74.119747899999993</v>
      </c>
    </row>
    <row r="211" spans="2:110" ht="16.5" customHeight="1" x14ac:dyDescent="0.25">
      <c r="B211" s="168"/>
      <c r="C211" s="47" t="s">
        <v>309</v>
      </c>
      <c r="D211" s="48" t="s">
        <v>310</v>
      </c>
      <c r="E211" s="49" t="s">
        <v>311</v>
      </c>
      <c r="F211" s="50">
        <f t="shared" si="244"/>
        <v>0.72733291999072258</v>
      </c>
      <c r="G211" s="50" t="str">
        <f t="shared" ca="1" si="245"/>
        <v>Yes</v>
      </c>
      <c r="H211" s="51" t="str">
        <f t="shared" si="246"/>
        <v>Main - Genoa - Screacher - Spinnaker</v>
      </c>
      <c r="I211" s="52">
        <v>41480</v>
      </c>
      <c r="J211" s="52">
        <v>41652</v>
      </c>
      <c r="K211" s="53" t="s">
        <v>312</v>
      </c>
      <c r="L211" s="53" t="s">
        <v>137</v>
      </c>
      <c r="M211" s="54"/>
      <c r="N211" s="55" t="s">
        <v>149</v>
      </c>
      <c r="O211" s="55"/>
      <c r="P211" s="56"/>
      <c r="Q211" s="57">
        <v>15.75</v>
      </c>
      <c r="R211" s="58"/>
      <c r="S211" s="59">
        <f t="shared" si="218"/>
        <v>0.39375000000000004</v>
      </c>
      <c r="T211" s="60"/>
      <c r="U211" s="60">
        <v>0</v>
      </c>
      <c r="V211" s="61">
        <f t="shared" si="219"/>
        <v>15.75</v>
      </c>
      <c r="W211" s="62">
        <f>IF(RL&gt;0,IF(RL&gt;'Look Ups'!R$7,'Look Ups'!R$8,('Look Ups'!R$3*RL^3+'Look Ups'!R$4*RL^2+'Look Ups'!R$5*RL+'Look Ups'!R$6)),0)</f>
        <v>0.3</v>
      </c>
      <c r="X211" s="63">
        <v>15317</v>
      </c>
      <c r="Y211" s="64"/>
      <c r="Z211" s="64"/>
      <c r="AA211" s="64"/>
      <c r="AB211" s="65">
        <f t="shared" si="220"/>
        <v>15317</v>
      </c>
      <c r="AC211" s="66">
        <f t="shared" si="221"/>
        <v>15317</v>
      </c>
      <c r="AD211" s="67" t="s">
        <v>129</v>
      </c>
      <c r="AE211" s="68" t="s">
        <v>130</v>
      </c>
      <c r="AF211" s="69" t="s">
        <v>161</v>
      </c>
      <c r="AG211" s="70">
        <f>IF(C211="",0,VLOOKUP(AD211,'Look Ups'!$B$3:$C$6,2,0)*VLOOKUP(AE211,'Look Ups'!$E$3:$F$5,2,0)*VLOOKUP(AF211,'Look Ups'!$H$3:$I$7,2,0))</f>
        <v>0.99</v>
      </c>
      <c r="AH211" s="71">
        <v>19.45</v>
      </c>
      <c r="AI211" s="60">
        <v>17.97</v>
      </c>
      <c r="AJ211" s="60">
        <v>6.77</v>
      </c>
      <c r="AK211" s="60">
        <v>2.11</v>
      </c>
      <c r="AL211" s="60">
        <v>0.37</v>
      </c>
      <c r="AM211" s="60">
        <v>18.66</v>
      </c>
      <c r="AN211" s="60">
        <v>0.2</v>
      </c>
      <c r="AO211" s="60">
        <v>7.06</v>
      </c>
      <c r="AP211" s="60">
        <v>0</v>
      </c>
      <c r="AQ211" s="60">
        <v>0</v>
      </c>
      <c r="AR211" s="60" t="s">
        <v>132</v>
      </c>
      <c r="AS211" s="75">
        <v>0</v>
      </c>
      <c r="AT211" s="59">
        <f t="shared" si="222"/>
        <v>18.66</v>
      </c>
      <c r="AU211" s="59">
        <f t="shared" si="223"/>
        <v>0</v>
      </c>
      <c r="AV211" s="72">
        <f>IF(C211="",0,(0.5*(_ML1*LPM)+0.5*(_ML1*HB)+0.66*(P*PR)+0.66*(_ML2*RDM)+0.66*(E*ER))*VLOOKUP(BATT,'Look Ups'!$N$3:$O$4,2,0))</f>
        <v>93.209393999999989</v>
      </c>
      <c r="AW211" s="73"/>
      <c r="AX211" s="74"/>
      <c r="AY211" s="71">
        <v>17.420000000000002</v>
      </c>
      <c r="AZ211" s="60">
        <v>4.3600000000000003</v>
      </c>
      <c r="BA211" s="60">
        <v>4.6500000000000004</v>
      </c>
      <c r="BB211" s="60">
        <v>0.17</v>
      </c>
      <c r="BC211" s="60">
        <v>16.5</v>
      </c>
      <c r="BD211" s="60"/>
      <c r="BE211" s="60"/>
      <c r="BF211" s="60">
        <v>-0.17</v>
      </c>
      <c r="BG211" s="60">
        <v>0.03</v>
      </c>
      <c r="BH211" s="75">
        <v>0</v>
      </c>
      <c r="BI211" s="72">
        <f t="shared" si="224"/>
        <v>36.990946000000001</v>
      </c>
      <c r="BJ211" s="76"/>
      <c r="BK211" s="77"/>
      <c r="BL211" s="78"/>
      <c r="BM211" s="78"/>
      <c r="BN211" s="77"/>
      <c r="BO211" s="78"/>
      <c r="BP211" s="78"/>
      <c r="BQ211" s="79">
        <f t="shared" si="225"/>
        <v>0</v>
      </c>
      <c r="BR211" s="80"/>
      <c r="BS211" s="77"/>
      <c r="BT211" s="77"/>
      <c r="BU211" s="77"/>
      <c r="BV211" s="77"/>
      <c r="BW211" s="77"/>
      <c r="BX211" s="77"/>
      <c r="BY211" s="72">
        <f t="shared" si="226"/>
        <v>0</v>
      </c>
      <c r="BZ211" s="73">
        <v>12.29</v>
      </c>
      <c r="CA211" s="60">
        <v>20.81</v>
      </c>
      <c r="CB211" s="60">
        <v>18.32</v>
      </c>
      <c r="CC211" s="60">
        <v>11.2</v>
      </c>
      <c r="CD211" s="65">
        <f t="shared" si="227"/>
        <v>91.131000813669644</v>
      </c>
      <c r="CE211" s="60">
        <v>0</v>
      </c>
      <c r="CF211" s="79">
        <f t="shared" si="228"/>
        <v>186.16097499999995</v>
      </c>
      <c r="CG211" s="71">
        <v>9.27</v>
      </c>
      <c r="CH211" s="60">
        <v>18.309999999999999</v>
      </c>
      <c r="CI211" s="60">
        <v>14.9</v>
      </c>
      <c r="CJ211" s="60">
        <v>4.6500000000000004</v>
      </c>
      <c r="CK211" s="59">
        <f t="shared" si="247"/>
        <v>50.161812297734635</v>
      </c>
      <c r="CL211" s="60">
        <v>0</v>
      </c>
      <c r="CM211" s="72">
        <f t="shared" si="229"/>
        <v>77.13022500000001</v>
      </c>
      <c r="CN211" s="81">
        <f t="shared" si="230"/>
        <v>1</v>
      </c>
      <c r="CO211" s="59">
        <f t="shared" si="231"/>
        <v>93.209393999999989</v>
      </c>
      <c r="CP211" s="59">
        <f t="shared" si="232"/>
        <v>1</v>
      </c>
      <c r="CQ211" s="59">
        <f t="shared" si="233"/>
        <v>36.990946000000001</v>
      </c>
      <c r="CR211" s="59">
        <f>IF(AV211&gt;0,'Look Ups'!$L$3,0)</f>
        <v>1</v>
      </c>
      <c r="CS211" s="59">
        <f t="shared" si="234"/>
        <v>0</v>
      </c>
      <c r="CT211" s="59">
        <f t="shared" si="248"/>
        <v>0</v>
      </c>
      <c r="CU211" s="59">
        <f t="shared" si="249"/>
        <v>0</v>
      </c>
      <c r="CV211" s="79">
        <f t="shared" si="250"/>
        <v>0</v>
      </c>
      <c r="CW211" s="82" t="str">
        <f t="shared" si="235"/>
        <v>valid</v>
      </c>
      <c r="CX211" s="65" t="str">
        <f t="shared" si="236"/>
        <v>valid</v>
      </c>
      <c r="CY211" s="66" t="str">
        <f t="shared" si="251"/>
        <v>MGScrSp</v>
      </c>
      <c r="CZ211" s="81">
        <f t="shared" si="237"/>
        <v>130.20033999999998</v>
      </c>
      <c r="DA211" s="59">
        <f t="shared" si="238"/>
        <v>44.751008699999979</v>
      </c>
      <c r="DB211" s="59">
        <f t="shared" si="239"/>
        <v>14.048747650000003</v>
      </c>
      <c r="DC211" s="59">
        <f t="shared" si="240"/>
        <v>44.00515855499998</v>
      </c>
      <c r="DD211" s="59">
        <f t="shared" si="241"/>
        <v>2.2076603450000003</v>
      </c>
      <c r="DE211" s="79">
        <f t="shared" si="242"/>
        <v>136.27193238399997</v>
      </c>
      <c r="DF211" s="83">
        <f t="shared" si="243"/>
        <v>176.41315889999996</v>
      </c>
    </row>
    <row r="212" spans="2:110" ht="16.5" customHeight="1" x14ac:dyDescent="0.25">
      <c r="B212" s="47"/>
      <c r="C212" s="168" t="s">
        <v>677</v>
      </c>
      <c r="D212" s="169" t="s">
        <v>678</v>
      </c>
      <c r="E212" s="170" t="s">
        <v>679</v>
      </c>
      <c r="F212" s="50">
        <f t="shared" si="244"/>
        <v>0.6275430482196076</v>
      </c>
      <c r="G212" s="50" t="str">
        <f t="shared" ca="1" si="245"/>
        <v>No</v>
      </c>
      <c r="H212" s="51" t="str">
        <f t="shared" si="246"/>
        <v xml:space="preserve">Main - Genoa - Spinnaker - Staysail </v>
      </c>
      <c r="I212" s="171">
        <v>36586</v>
      </c>
      <c r="J212" s="171"/>
      <c r="K212" s="172" t="s">
        <v>465</v>
      </c>
      <c r="L212" s="172" t="s">
        <v>239</v>
      </c>
      <c r="M212" s="171"/>
      <c r="N212" s="173" t="s">
        <v>149</v>
      </c>
      <c r="O212" s="173"/>
      <c r="P212" s="186"/>
      <c r="Q212" s="175">
        <v>11.1</v>
      </c>
      <c r="R212" s="78"/>
      <c r="S212" s="59">
        <f t="shared" si="218"/>
        <v>0.27750000000000002</v>
      </c>
      <c r="T212" s="176">
        <v>0.2</v>
      </c>
      <c r="U212" s="176">
        <v>0</v>
      </c>
      <c r="V212" s="61">
        <f t="shared" si="219"/>
        <v>10.9</v>
      </c>
      <c r="W212" s="62">
        <f>IF(RL&gt;0,IF(RL&gt;'Look Ups'!R$7,'Look Ups'!R$8,('Look Ups'!R$3*RL^3+'Look Ups'!R$4*RL^2+'Look Ups'!R$5*RL+'Look Ups'!R$6)),0)</f>
        <v>0.29945195700000005</v>
      </c>
      <c r="X212" s="177">
        <v>5207</v>
      </c>
      <c r="Y212" s="178">
        <v>0</v>
      </c>
      <c r="Z212" s="178"/>
      <c r="AA212" s="178"/>
      <c r="AB212" s="65">
        <f t="shared" si="220"/>
        <v>5207</v>
      </c>
      <c r="AC212" s="66">
        <f t="shared" si="221"/>
        <v>5207</v>
      </c>
      <c r="AD212" s="179" t="s">
        <v>545</v>
      </c>
      <c r="AE212" s="180" t="s">
        <v>130</v>
      </c>
      <c r="AF212" s="181" t="s">
        <v>161</v>
      </c>
      <c r="AG212" s="70">
        <f>IF(C212="",0,VLOOKUP(AD212,'Look Ups'!$B$3:$C$6,2,0)*VLOOKUP(AE212,'Look Ups'!$E$3:$F$5,2,0)*VLOOKUP(AF212,'Look Ups'!$H$3:$I$7,2,0))</f>
        <v>0.97019999999999995</v>
      </c>
      <c r="AH212" s="80">
        <v>11.67</v>
      </c>
      <c r="AI212" s="77">
        <v>11.65</v>
      </c>
      <c r="AJ212" s="77">
        <v>2.72</v>
      </c>
      <c r="AK212" s="77">
        <v>0.15</v>
      </c>
      <c r="AL212" s="77">
        <v>0.31</v>
      </c>
      <c r="AM212" s="77">
        <v>11.5</v>
      </c>
      <c r="AN212" s="77">
        <v>0</v>
      </c>
      <c r="AO212" s="77">
        <v>2.9</v>
      </c>
      <c r="AP212" s="77">
        <v>0</v>
      </c>
      <c r="AQ212" s="77">
        <v>0</v>
      </c>
      <c r="AR212" s="77" t="s">
        <v>538</v>
      </c>
      <c r="AS212" s="87">
        <v>0</v>
      </c>
      <c r="AT212" s="59">
        <f t="shared" si="222"/>
        <v>11.5</v>
      </c>
      <c r="AU212" s="59">
        <f t="shared" si="223"/>
        <v>0</v>
      </c>
      <c r="AV212" s="72">
        <f>IF(C212="",0,(0.5*(_ML1*LPM)+0.5*(_ML1*HB)+0.66*(P*PR)+0.66*(_ML2*RDM)+0.66*(E*ER))*VLOOKUP(BATT,'Look Ups'!$N$3:$O$4,2,0))</f>
        <v>17.982237600000001</v>
      </c>
      <c r="AW212" s="182"/>
      <c r="AX212" s="183"/>
      <c r="AY212" s="80">
        <v>12.75</v>
      </c>
      <c r="AZ212" s="77">
        <v>5.54</v>
      </c>
      <c r="BA212" s="77">
        <v>6.8</v>
      </c>
      <c r="BB212" s="77">
        <v>0.25</v>
      </c>
      <c r="BC212" s="77">
        <v>10.73</v>
      </c>
      <c r="BD212" s="77"/>
      <c r="BE212" s="77"/>
      <c r="BF212" s="77">
        <v>-0.17</v>
      </c>
      <c r="BG212" s="77">
        <v>-0.2</v>
      </c>
      <c r="BH212" s="87"/>
      <c r="BI212" s="72">
        <f t="shared" si="224"/>
        <v>33.552593999999999</v>
      </c>
      <c r="BJ212" s="76">
        <v>6.74</v>
      </c>
      <c r="BK212" s="77">
        <v>2.2800000000000002</v>
      </c>
      <c r="BL212" s="78">
        <v>2.97</v>
      </c>
      <c r="BM212" s="78">
        <v>0.08</v>
      </c>
      <c r="BN212" s="77">
        <v>5.49</v>
      </c>
      <c r="BO212" s="78">
        <v>0</v>
      </c>
      <c r="BP212" s="78">
        <v>-0.1</v>
      </c>
      <c r="BQ212" s="79">
        <f t="shared" si="225"/>
        <v>7.395576000000001</v>
      </c>
      <c r="BR212" s="80"/>
      <c r="BS212" s="77"/>
      <c r="BT212" s="77"/>
      <c r="BU212" s="77"/>
      <c r="BV212" s="77"/>
      <c r="BW212" s="77"/>
      <c r="BX212" s="77"/>
      <c r="BY212" s="72">
        <f t="shared" si="226"/>
        <v>0</v>
      </c>
      <c r="BZ212" s="182">
        <v>7.92</v>
      </c>
      <c r="CA212" s="77">
        <v>11.93</v>
      </c>
      <c r="CB212" s="77">
        <v>11.93</v>
      </c>
      <c r="CC212" s="77">
        <v>7.75</v>
      </c>
      <c r="CD212" s="65">
        <f t="shared" si="227"/>
        <v>97.853535353535364</v>
      </c>
      <c r="CE212" s="77">
        <v>0</v>
      </c>
      <c r="CF212" s="79">
        <f t="shared" si="228"/>
        <v>77.385933333333327</v>
      </c>
      <c r="CG212" s="80"/>
      <c r="CH212" s="77"/>
      <c r="CI212" s="77"/>
      <c r="CJ212" s="77"/>
      <c r="CK212" s="59" t="str">
        <f t="shared" si="247"/>
        <v/>
      </c>
      <c r="CL212" s="77">
        <v>0</v>
      </c>
      <c r="CM212" s="72">
        <f t="shared" si="229"/>
        <v>0</v>
      </c>
      <c r="CN212" s="81">
        <f t="shared" si="230"/>
        <v>1</v>
      </c>
      <c r="CO212" s="59">
        <f t="shared" si="231"/>
        <v>17.982237600000001</v>
      </c>
      <c r="CP212" s="59">
        <f t="shared" si="232"/>
        <v>1</v>
      </c>
      <c r="CQ212" s="59">
        <f t="shared" si="233"/>
        <v>33.552593999999999</v>
      </c>
      <c r="CR212" s="59">
        <f>IF(AV212&gt;0,'Look Ups'!$L$3,0)</f>
        <v>1</v>
      </c>
      <c r="CS212" s="59">
        <f t="shared" si="234"/>
        <v>0.80031911454231541</v>
      </c>
      <c r="CT212" s="59">
        <f t="shared" si="248"/>
        <v>5.9188208358503998</v>
      </c>
      <c r="CU212" s="59">
        <f t="shared" si="249"/>
        <v>0</v>
      </c>
      <c r="CV212" s="79">
        <f t="shared" si="250"/>
        <v>0</v>
      </c>
      <c r="CW212" s="82" t="str">
        <f t="shared" si="235"/>
        <v>-</v>
      </c>
      <c r="CX212" s="65" t="str">
        <f t="shared" si="236"/>
        <v>valid</v>
      </c>
      <c r="CY212" s="66" t="str">
        <f t="shared" si="251"/>
        <v>MGSp</v>
      </c>
      <c r="CZ212" s="81">
        <f t="shared" si="237"/>
        <v>51.534831600000004</v>
      </c>
      <c r="DA212" s="59">
        <f t="shared" si="238"/>
        <v>13.150001799999998</v>
      </c>
      <c r="DB212" s="59">
        <f t="shared" si="239"/>
        <v>0</v>
      </c>
      <c r="DC212" s="59">
        <f t="shared" si="240"/>
        <v>12.930835103333331</v>
      </c>
      <c r="DD212" s="59">
        <f t="shared" si="241"/>
        <v>0</v>
      </c>
      <c r="DE212" s="79">
        <f t="shared" si="242"/>
        <v>49.853233108800005</v>
      </c>
      <c r="DF212" s="83">
        <f t="shared" si="243"/>
        <v>70.603654235850399</v>
      </c>
    </row>
    <row r="213" spans="2:110" ht="16.5" customHeight="1" x14ac:dyDescent="0.25">
      <c r="B213" s="47"/>
      <c r="C213" s="47" t="s">
        <v>320</v>
      </c>
      <c r="D213" s="48" t="s">
        <v>235</v>
      </c>
      <c r="E213" s="49" t="s">
        <v>321</v>
      </c>
      <c r="F213" s="50">
        <f t="shared" si="244"/>
        <v>0.89480791624214961</v>
      </c>
      <c r="G213" s="50" t="str">
        <f t="shared" ca="1" si="245"/>
        <v>No</v>
      </c>
      <c r="H213" s="51" t="str">
        <f t="shared" si="246"/>
        <v>Main - Genoa - Spinnaker</v>
      </c>
      <c r="I213" s="52">
        <v>41207</v>
      </c>
      <c r="J213" s="52">
        <v>41495</v>
      </c>
      <c r="K213" s="53" t="s">
        <v>136</v>
      </c>
      <c r="L213" s="53" t="s">
        <v>137</v>
      </c>
      <c r="M213" s="54"/>
      <c r="N213" s="55" t="s">
        <v>127</v>
      </c>
      <c r="O213" s="55" t="s">
        <v>128</v>
      </c>
      <c r="P213" s="56"/>
      <c r="Q213" s="57">
        <v>7.02</v>
      </c>
      <c r="R213" s="58"/>
      <c r="S213" s="59">
        <f t="shared" si="218"/>
        <v>0.17549999999999999</v>
      </c>
      <c r="T213" s="60">
        <v>7.0000000000000007E-2</v>
      </c>
      <c r="U213" s="60">
        <v>0.14000000000000001</v>
      </c>
      <c r="V213" s="61">
        <f t="shared" si="219"/>
        <v>6.81</v>
      </c>
      <c r="W213" s="62">
        <f>IF(RL&gt;0,IF(RL&gt;'Look Ups'!R$7,'Look Ups'!R$8,('Look Ups'!R$3*RL^3+'Look Ups'!R$4*RL^2+'Look Ups'!R$5*RL+'Look Ups'!R$6)),0)</f>
        <v>0.28879056095300004</v>
      </c>
      <c r="X213" s="63">
        <v>820</v>
      </c>
      <c r="Y213" s="64"/>
      <c r="Z213" s="64"/>
      <c r="AA213" s="64"/>
      <c r="AB213" s="65">
        <f t="shared" si="220"/>
        <v>820</v>
      </c>
      <c r="AC213" s="66">
        <f t="shared" si="221"/>
        <v>820</v>
      </c>
      <c r="AD213" s="67" t="s">
        <v>129</v>
      </c>
      <c r="AE213" s="68" t="s">
        <v>130</v>
      </c>
      <c r="AF213" s="69" t="s">
        <v>131</v>
      </c>
      <c r="AG213" s="70">
        <f>IF(C213="",0,VLOOKUP(AD213,'Look Ups'!$B$3:$C$6,2,0)*VLOOKUP(AE213,'Look Ups'!$E$3:$F$5,2,0)*VLOOKUP(AF213,'Look Ups'!$H$3:$I$7,2,0))</f>
        <v>1</v>
      </c>
      <c r="AH213" s="71">
        <v>10.43</v>
      </c>
      <c r="AI213" s="60">
        <v>10.210000000000001</v>
      </c>
      <c r="AJ213" s="60">
        <v>2.85</v>
      </c>
      <c r="AK213" s="60">
        <v>1.19</v>
      </c>
      <c r="AL213" s="60">
        <v>0.46</v>
      </c>
      <c r="AM213" s="60">
        <v>10.1</v>
      </c>
      <c r="AN213" s="60">
        <v>0.16</v>
      </c>
      <c r="AO213" s="60">
        <v>2.91</v>
      </c>
      <c r="AP213" s="60">
        <v>0.04</v>
      </c>
      <c r="AQ213" s="60">
        <v>0.41</v>
      </c>
      <c r="AR213" s="60" t="s">
        <v>132</v>
      </c>
      <c r="AS213" s="75"/>
      <c r="AT213" s="59">
        <f t="shared" si="222"/>
        <v>10.139999999999999</v>
      </c>
      <c r="AU213" s="59">
        <f t="shared" si="223"/>
        <v>1.5528749999999998</v>
      </c>
      <c r="AV213" s="72">
        <f>IF(C213="",0,(0.5*(_ML1*LPM)+0.5*(_ML1*HB)+0.66*(P*PR)+0.66*(_ML2*RDM)+0.66*(E*ER))*VLOOKUP(BATT,'Look Ups'!$N$3:$O$4,2,0))</f>
        <v>25.311739999999997</v>
      </c>
      <c r="AW213" s="73"/>
      <c r="AX213" s="74"/>
      <c r="AY213" s="71">
        <v>9.1</v>
      </c>
      <c r="AZ213" s="60">
        <v>2.56</v>
      </c>
      <c r="BA213" s="60">
        <v>2.95</v>
      </c>
      <c r="BB213" s="60">
        <v>0.18</v>
      </c>
      <c r="BC213" s="60">
        <v>8.08</v>
      </c>
      <c r="BD213" s="60"/>
      <c r="BE213" s="60"/>
      <c r="BF213" s="60">
        <v>0.21</v>
      </c>
      <c r="BG213" s="60">
        <v>0</v>
      </c>
      <c r="BH213" s="75"/>
      <c r="BI213" s="72">
        <f t="shared" si="224"/>
        <v>13.118347999999999</v>
      </c>
      <c r="BJ213" s="76"/>
      <c r="BK213" s="77"/>
      <c r="BL213" s="78"/>
      <c r="BM213" s="78"/>
      <c r="BN213" s="77"/>
      <c r="BO213" s="78"/>
      <c r="BP213" s="78"/>
      <c r="BQ213" s="79">
        <f t="shared" si="225"/>
        <v>0</v>
      </c>
      <c r="BR213" s="80"/>
      <c r="BS213" s="77"/>
      <c r="BT213" s="77"/>
      <c r="BU213" s="77"/>
      <c r="BV213" s="77"/>
      <c r="BW213" s="77"/>
      <c r="BX213" s="77"/>
      <c r="BY213" s="72">
        <f t="shared" si="226"/>
        <v>0</v>
      </c>
      <c r="BZ213" s="73">
        <v>6.46</v>
      </c>
      <c r="CA213" s="60">
        <v>12.25</v>
      </c>
      <c r="CB213" s="60">
        <v>10.58</v>
      </c>
      <c r="CC213" s="60">
        <v>5.8</v>
      </c>
      <c r="CD213" s="65">
        <f t="shared" si="227"/>
        <v>89.783281733746122</v>
      </c>
      <c r="CE213" s="60"/>
      <c r="CF213" s="79">
        <f t="shared" si="228"/>
        <v>56.428149999999995</v>
      </c>
      <c r="CG213" s="71"/>
      <c r="CH213" s="60"/>
      <c r="CI213" s="60"/>
      <c r="CJ213" s="60"/>
      <c r="CK213" s="59" t="str">
        <f t="shared" si="247"/>
        <v/>
      </c>
      <c r="CL213" s="60"/>
      <c r="CM213" s="72">
        <f t="shared" si="229"/>
        <v>0</v>
      </c>
      <c r="CN213" s="81">
        <f t="shared" si="230"/>
        <v>1</v>
      </c>
      <c r="CO213" s="59">
        <f t="shared" si="231"/>
        <v>26.864615000000001</v>
      </c>
      <c r="CP213" s="59">
        <f t="shared" si="232"/>
        <v>1</v>
      </c>
      <c r="CQ213" s="59">
        <f t="shared" si="233"/>
        <v>13.118347999999999</v>
      </c>
      <c r="CR213" s="59">
        <f>IF(AV213&gt;0,'Look Ups'!$L$3,0)</f>
        <v>1</v>
      </c>
      <c r="CS213" s="59">
        <f t="shared" si="234"/>
        <v>0</v>
      </c>
      <c r="CT213" s="59">
        <f t="shared" si="248"/>
        <v>0</v>
      </c>
      <c r="CU213" s="59">
        <f t="shared" si="249"/>
        <v>0</v>
      </c>
      <c r="CV213" s="79">
        <f t="shared" si="250"/>
        <v>0</v>
      </c>
      <c r="CW213" s="82" t="str">
        <f t="shared" si="235"/>
        <v>-</v>
      </c>
      <c r="CX213" s="65" t="str">
        <f t="shared" si="236"/>
        <v>valid</v>
      </c>
      <c r="CY213" s="66" t="str">
        <f t="shared" si="251"/>
        <v>MGSp</v>
      </c>
      <c r="CZ213" s="81">
        <f t="shared" si="237"/>
        <v>39.982962999999998</v>
      </c>
      <c r="DA213" s="59">
        <f t="shared" si="238"/>
        <v>12.992940599999999</v>
      </c>
      <c r="DB213" s="59">
        <f t="shared" si="239"/>
        <v>0</v>
      </c>
      <c r="DC213" s="59">
        <f t="shared" si="240"/>
        <v>12.776391589999999</v>
      </c>
      <c r="DD213" s="59">
        <f t="shared" si="241"/>
        <v>0</v>
      </c>
      <c r="DE213" s="79">
        <f t="shared" si="242"/>
        <v>41.467559836</v>
      </c>
      <c r="DF213" s="83">
        <f t="shared" si="243"/>
        <v>52.975903599999995</v>
      </c>
    </row>
    <row r="214" spans="2:110" ht="16.5" customHeight="1" x14ac:dyDescent="0.25">
      <c r="B214" s="47"/>
      <c r="C214" s="168" t="s">
        <v>680</v>
      </c>
      <c r="D214" s="169" t="s">
        <v>681</v>
      </c>
      <c r="E214" s="170" t="s">
        <v>682</v>
      </c>
      <c r="F214" s="50">
        <f t="shared" si="244"/>
        <v>0.83011919147888424</v>
      </c>
      <c r="G214" s="50" t="str">
        <f t="shared" ca="1" si="245"/>
        <v>No</v>
      </c>
      <c r="H214" s="51" t="str">
        <f t="shared" si="246"/>
        <v>Main - Genoa - Spinnaker</v>
      </c>
      <c r="I214" s="171">
        <v>37829</v>
      </c>
      <c r="J214" s="171"/>
      <c r="K214" s="172" t="s">
        <v>299</v>
      </c>
      <c r="L214" s="172" t="s">
        <v>387</v>
      </c>
      <c r="M214" s="171"/>
      <c r="N214" s="87" t="s">
        <v>537</v>
      </c>
      <c r="O214" s="87"/>
      <c r="P214" s="174">
        <v>5.5</v>
      </c>
      <c r="Q214" s="175">
        <v>7.46</v>
      </c>
      <c r="R214" s="78"/>
      <c r="S214" s="59">
        <f t="shared" si="218"/>
        <v>0.1865</v>
      </c>
      <c r="T214" s="176">
        <v>0.23</v>
      </c>
      <c r="U214" s="176">
        <v>0</v>
      </c>
      <c r="V214" s="61">
        <f t="shared" si="219"/>
        <v>7.2299999999999995</v>
      </c>
      <c r="W214" s="62">
        <f>IF(RL&gt;0,IF(RL&gt;'Look Ups'!R$7,'Look Ups'!R$8,('Look Ups'!R$3*RL^3+'Look Ups'!R$4*RL^2+'Look Ups'!R$5*RL+'Look Ups'!R$6)),0)</f>
        <v>0.29077473121100006</v>
      </c>
      <c r="X214" s="177">
        <v>965</v>
      </c>
      <c r="Y214" s="178"/>
      <c r="Z214" s="178"/>
      <c r="AA214" s="178"/>
      <c r="AB214" s="65">
        <f t="shared" si="220"/>
        <v>965</v>
      </c>
      <c r="AC214" s="66">
        <f t="shared" si="221"/>
        <v>965</v>
      </c>
      <c r="AD214" s="179" t="s">
        <v>129</v>
      </c>
      <c r="AE214" s="180" t="s">
        <v>130</v>
      </c>
      <c r="AF214" s="181" t="s">
        <v>131</v>
      </c>
      <c r="AG214" s="70">
        <f>IF(C214="",0,VLOOKUP(AD214,'Look Ups'!$B$3:$C$6,2,0)*VLOOKUP(AE214,'Look Ups'!$E$3:$F$5,2,0)*VLOOKUP(AF214,'Look Ups'!$H$3:$I$7,2,0))</f>
        <v>1</v>
      </c>
      <c r="AH214" s="80">
        <v>9.06</v>
      </c>
      <c r="AI214" s="77">
        <v>8.7899999999999991</v>
      </c>
      <c r="AJ214" s="77">
        <v>3.32</v>
      </c>
      <c r="AK214" s="77">
        <v>0.74</v>
      </c>
      <c r="AL214" s="77">
        <v>0.72</v>
      </c>
      <c r="AM214" s="77">
        <v>8.6999999999999993</v>
      </c>
      <c r="AN214" s="77">
        <v>0.11</v>
      </c>
      <c r="AO214" s="77">
        <v>3.46</v>
      </c>
      <c r="AP214" s="77">
        <v>0</v>
      </c>
      <c r="AQ214" s="77">
        <v>0.41</v>
      </c>
      <c r="AR214" s="77" t="s">
        <v>132</v>
      </c>
      <c r="AS214" s="87">
        <v>0</v>
      </c>
      <c r="AT214" s="59">
        <f t="shared" si="222"/>
        <v>8.6999999999999993</v>
      </c>
      <c r="AU214" s="59">
        <f t="shared" si="223"/>
        <v>1.3376249999999998</v>
      </c>
      <c r="AV214" s="72">
        <f>IF(C214="",0,(0.5*(_ML1*LPM)+0.5*(_ML1*HB)+0.66*(P*PR)+0.66*(_ML2*RDM)+0.66*(E*ER))*VLOOKUP(BATT,'Look Ups'!$N$3:$O$4,2,0))</f>
        <v>23.200428000000002</v>
      </c>
      <c r="AW214" s="182"/>
      <c r="AX214" s="183"/>
      <c r="AY214" s="80">
        <v>8.33</v>
      </c>
      <c r="AZ214" s="77">
        <v>3.2</v>
      </c>
      <c r="BA214" s="77">
        <v>3.59</v>
      </c>
      <c r="BB214" s="77">
        <v>0.12</v>
      </c>
      <c r="BC214" s="77">
        <v>7.42</v>
      </c>
      <c r="BD214" s="77"/>
      <c r="BE214" s="77"/>
      <c r="BF214" s="77">
        <v>0.16</v>
      </c>
      <c r="BG214" s="77">
        <v>0.03</v>
      </c>
      <c r="BH214" s="87"/>
      <c r="BI214" s="72">
        <f t="shared" si="224"/>
        <v>14.560814000000002</v>
      </c>
      <c r="BJ214" s="76"/>
      <c r="BK214" s="77"/>
      <c r="BL214" s="78"/>
      <c r="BM214" s="78"/>
      <c r="BN214" s="77"/>
      <c r="BO214" s="78"/>
      <c r="BP214" s="78"/>
      <c r="BQ214" s="79">
        <f t="shared" si="225"/>
        <v>0</v>
      </c>
      <c r="BR214" s="80"/>
      <c r="BS214" s="77"/>
      <c r="BT214" s="77"/>
      <c r="BU214" s="77"/>
      <c r="BV214" s="77"/>
      <c r="BW214" s="77"/>
      <c r="BX214" s="77"/>
      <c r="BY214" s="72">
        <f t="shared" si="226"/>
        <v>0</v>
      </c>
      <c r="BZ214" s="182">
        <v>6.25</v>
      </c>
      <c r="CA214" s="77">
        <v>10.050000000000001</v>
      </c>
      <c r="CB214" s="77">
        <v>8.3699999999999992</v>
      </c>
      <c r="CC214" s="77">
        <v>5.39</v>
      </c>
      <c r="CD214" s="65">
        <f t="shared" si="227"/>
        <v>86.24</v>
      </c>
      <c r="CE214" s="77">
        <v>0</v>
      </c>
      <c r="CF214" s="79">
        <f t="shared" si="228"/>
        <v>42.68835</v>
      </c>
      <c r="CG214" s="80">
        <v>6.25</v>
      </c>
      <c r="CH214" s="77">
        <v>9.2899999999999991</v>
      </c>
      <c r="CI214" s="77">
        <v>8.3699999999999992</v>
      </c>
      <c r="CJ214" s="77">
        <v>2.71</v>
      </c>
      <c r="CK214" s="59">
        <f t="shared" si="247"/>
        <v>43.36</v>
      </c>
      <c r="CL214" s="77">
        <v>0</v>
      </c>
      <c r="CM214" s="72">
        <f t="shared" si="229"/>
        <v>25.150783333333326</v>
      </c>
      <c r="CN214" s="81">
        <f t="shared" si="230"/>
        <v>1</v>
      </c>
      <c r="CO214" s="59">
        <f t="shared" si="231"/>
        <v>24.538053000000001</v>
      </c>
      <c r="CP214" s="59">
        <f t="shared" si="232"/>
        <v>1</v>
      </c>
      <c r="CQ214" s="59">
        <f t="shared" si="233"/>
        <v>14.560814000000002</v>
      </c>
      <c r="CR214" s="59">
        <f>IF(AV214&gt;0,'Look Ups'!$L$3,0)</f>
        <v>1</v>
      </c>
      <c r="CS214" s="59">
        <f t="shared" si="234"/>
        <v>0</v>
      </c>
      <c r="CT214" s="59">
        <f t="shared" si="248"/>
        <v>0</v>
      </c>
      <c r="CU214" s="59">
        <f t="shared" si="249"/>
        <v>0</v>
      </c>
      <c r="CV214" s="79">
        <f t="shared" si="250"/>
        <v>0</v>
      </c>
      <c r="CW214" s="82" t="str">
        <f t="shared" si="235"/>
        <v>ERROR</v>
      </c>
      <c r="CX214" s="65" t="str">
        <f t="shared" si="236"/>
        <v>valid</v>
      </c>
      <c r="CY214" s="66" t="str">
        <f t="shared" si="251"/>
        <v>MGSp</v>
      </c>
      <c r="CZ214" s="81">
        <f t="shared" si="237"/>
        <v>39.098867000000006</v>
      </c>
      <c r="DA214" s="59">
        <f t="shared" si="238"/>
        <v>8.4382608000000001</v>
      </c>
      <c r="DB214" s="59">
        <f t="shared" si="239"/>
        <v>3.7064892666666629</v>
      </c>
      <c r="DC214" s="59">
        <f t="shared" si="240"/>
        <v>8.297623119999999</v>
      </c>
      <c r="DD214" s="59">
        <f t="shared" si="241"/>
        <v>0.5824483133333328</v>
      </c>
      <c r="DE214" s="79">
        <f t="shared" si="242"/>
        <v>40.176408812000005</v>
      </c>
      <c r="DF214" s="83">
        <f t="shared" si="243"/>
        <v>47.537127800000007</v>
      </c>
    </row>
    <row r="215" spans="2:110" ht="16.5" customHeight="1" x14ac:dyDescent="0.25">
      <c r="B215" s="168"/>
      <c r="C215" s="168" t="s">
        <v>683</v>
      </c>
      <c r="D215" s="169" t="s">
        <v>684</v>
      </c>
      <c r="E215" s="170" t="s">
        <v>685</v>
      </c>
      <c r="F215" s="50">
        <f t="shared" si="244"/>
        <v>0.58725637466637914</v>
      </c>
      <c r="G215" s="50" t="str">
        <f t="shared" ca="1" si="245"/>
        <v>No</v>
      </c>
      <c r="H215" s="51" t="str">
        <f t="shared" si="246"/>
        <v>Main - Genoa - Spinnaker</v>
      </c>
      <c r="I215" s="171">
        <v>38063</v>
      </c>
      <c r="J215" s="171"/>
      <c r="K215" s="172" t="s">
        <v>571</v>
      </c>
      <c r="L215" s="172" t="s">
        <v>387</v>
      </c>
      <c r="M215" s="171"/>
      <c r="N215" s="173" t="s">
        <v>149</v>
      </c>
      <c r="O215" s="173"/>
      <c r="P215" s="174">
        <v>6.1</v>
      </c>
      <c r="Q215" s="175">
        <v>10.72</v>
      </c>
      <c r="R215" s="78"/>
      <c r="S215" s="59">
        <f t="shared" si="218"/>
        <v>0.26800000000000002</v>
      </c>
      <c r="T215" s="176">
        <v>0.19</v>
      </c>
      <c r="U215" s="176">
        <v>0</v>
      </c>
      <c r="V215" s="61">
        <f t="shared" si="219"/>
        <v>10.530000000000001</v>
      </c>
      <c r="W215" s="62">
        <f>IF(RL&gt;0,IF(RL&gt;'Look Ups'!R$7,'Look Ups'!R$8,('Look Ups'!R$3*RL^3+'Look Ups'!R$4*RL^2+'Look Ups'!R$5*RL+'Look Ups'!R$6)),0)</f>
        <v>0.29913174394100001</v>
      </c>
      <c r="X215" s="177">
        <v>6750</v>
      </c>
      <c r="Y215" s="178"/>
      <c r="Z215" s="178"/>
      <c r="AA215" s="178"/>
      <c r="AB215" s="65">
        <f t="shared" si="220"/>
        <v>6750</v>
      </c>
      <c r="AC215" s="66">
        <f t="shared" si="221"/>
        <v>6750</v>
      </c>
      <c r="AD215" s="179" t="s">
        <v>662</v>
      </c>
      <c r="AE215" s="180" t="s">
        <v>130</v>
      </c>
      <c r="AF215" s="181" t="s">
        <v>161</v>
      </c>
      <c r="AG215" s="70">
        <f>IF(C215="",0,VLOOKUP(AD215,'Look Ups'!$B$3:$C$6,2,0)*VLOOKUP(AE215,'Look Ups'!$E$3:$F$5,2,0)*VLOOKUP(AF215,'Look Ups'!$H$3:$I$7,2,0))</f>
        <v>0.98504999999999998</v>
      </c>
      <c r="AH215" s="80">
        <v>13.65</v>
      </c>
      <c r="AI215" s="77">
        <v>13.62</v>
      </c>
      <c r="AJ215" s="77">
        <v>4.7</v>
      </c>
      <c r="AK215" s="77">
        <v>0.09</v>
      </c>
      <c r="AL215" s="77">
        <v>0.41</v>
      </c>
      <c r="AM215" s="77">
        <v>13.02</v>
      </c>
      <c r="AN215" s="77">
        <v>0.19</v>
      </c>
      <c r="AO215" s="77">
        <v>4.93</v>
      </c>
      <c r="AP215" s="77">
        <v>0</v>
      </c>
      <c r="AQ215" s="77"/>
      <c r="AR215" s="77" t="s">
        <v>132</v>
      </c>
      <c r="AS215" s="87">
        <v>0</v>
      </c>
      <c r="AT215" s="59">
        <f t="shared" si="222"/>
        <v>13.02</v>
      </c>
      <c r="AU215" s="59">
        <f t="shared" si="223"/>
        <v>0</v>
      </c>
      <c r="AV215" s="72">
        <f>IF(C215="",0,(0.5*(_ML1*LPM)+0.5*(_ML1*HB)+0.66*(P*PR)+0.66*(_ML2*RDM)+0.66*(E*ER))*VLOOKUP(BATT,'Look Ups'!$N$3:$O$4,2,0))</f>
        <v>38.01003</v>
      </c>
      <c r="AW215" s="182"/>
      <c r="AX215" s="183"/>
      <c r="AY215" s="80">
        <v>12.61</v>
      </c>
      <c r="AZ215" s="77">
        <v>2.94</v>
      </c>
      <c r="BA215" s="77">
        <v>3.1</v>
      </c>
      <c r="BB215" s="77">
        <v>7.0000000000000007E-2</v>
      </c>
      <c r="BC215" s="77">
        <v>11.81</v>
      </c>
      <c r="BD215" s="77"/>
      <c r="BE215" s="77"/>
      <c r="BF215" s="77">
        <v>-0.15</v>
      </c>
      <c r="BG215" s="77">
        <v>0</v>
      </c>
      <c r="BH215" s="87"/>
      <c r="BI215" s="72">
        <f t="shared" si="224"/>
        <v>17.510729999999999</v>
      </c>
      <c r="BJ215" s="76"/>
      <c r="BK215" s="77"/>
      <c r="BL215" s="78"/>
      <c r="BM215" s="78"/>
      <c r="BN215" s="77"/>
      <c r="BO215" s="78"/>
      <c r="BP215" s="78"/>
      <c r="BQ215" s="79">
        <f t="shared" si="225"/>
        <v>0</v>
      </c>
      <c r="BR215" s="80"/>
      <c r="BS215" s="77"/>
      <c r="BT215" s="77"/>
      <c r="BU215" s="77"/>
      <c r="BV215" s="77"/>
      <c r="BW215" s="77"/>
      <c r="BX215" s="77"/>
      <c r="BY215" s="72">
        <f t="shared" si="226"/>
        <v>0</v>
      </c>
      <c r="BZ215" s="182">
        <v>7.49</v>
      </c>
      <c r="CA215" s="77">
        <v>13.42</v>
      </c>
      <c r="CB215" s="77">
        <v>12</v>
      </c>
      <c r="CC215" s="77">
        <v>7.11</v>
      </c>
      <c r="CD215" s="65">
        <f t="shared" si="227"/>
        <v>94.926568758344459</v>
      </c>
      <c r="CE215" s="77">
        <v>0</v>
      </c>
      <c r="CF215" s="79">
        <f t="shared" si="228"/>
        <v>76.111716666666666</v>
      </c>
      <c r="CG215" s="80">
        <v>0</v>
      </c>
      <c r="CH215" s="77"/>
      <c r="CI215" s="77"/>
      <c r="CJ215" s="77"/>
      <c r="CK215" s="59" t="str">
        <f t="shared" si="247"/>
        <v/>
      </c>
      <c r="CL215" s="77">
        <v>0</v>
      </c>
      <c r="CM215" s="72">
        <f t="shared" si="229"/>
        <v>0</v>
      </c>
      <c r="CN215" s="81">
        <f t="shared" si="230"/>
        <v>1</v>
      </c>
      <c r="CO215" s="59">
        <f t="shared" si="231"/>
        <v>38.01003</v>
      </c>
      <c r="CP215" s="59">
        <f t="shared" si="232"/>
        <v>1</v>
      </c>
      <c r="CQ215" s="59">
        <f t="shared" si="233"/>
        <v>17.510729999999999</v>
      </c>
      <c r="CR215" s="59">
        <f>IF(AV215&gt;0,'Look Ups'!$L$3,0)</f>
        <v>1</v>
      </c>
      <c r="CS215" s="59">
        <f t="shared" si="234"/>
        <v>0</v>
      </c>
      <c r="CT215" s="59">
        <f t="shared" si="248"/>
        <v>0</v>
      </c>
      <c r="CU215" s="59">
        <f t="shared" si="249"/>
        <v>0</v>
      </c>
      <c r="CV215" s="79">
        <f t="shared" si="250"/>
        <v>0</v>
      </c>
      <c r="CW215" s="82" t="str">
        <f t="shared" si="235"/>
        <v>-</v>
      </c>
      <c r="CX215" s="65" t="str">
        <f t="shared" si="236"/>
        <v>valid</v>
      </c>
      <c r="CY215" s="66" t="str">
        <f t="shared" si="251"/>
        <v>MGSp</v>
      </c>
      <c r="CZ215" s="81">
        <f t="shared" si="237"/>
        <v>55.520759999999996</v>
      </c>
      <c r="DA215" s="59">
        <f t="shared" si="238"/>
        <v>17.580296000000001</v>
      </c>
      <c r="DB215" s="59">
        <f t="shared" si="239"/>
        <v>0</v>
      </c>
      <c r="DC215" s="59">
        <f t="shared" si="240"/>
        <v>17.287291066666668</v>
      </c>
      <c r="DD215" s="59">
        <f t="shared" si="241"/>
        <v>0</v>
      </c>
      <c r="DE215" s="79">
        <f t="shared" si="242"/>
        <v>57.734684399999999</v>
      </c>
      <c r="DF215" s="83">
        <f t="shared" si="243"/>
        <v>73.101056</v>
      </c>
    </row>
    <row r="216" spans="2:110" ht="16.5" customHeight="1" x14ac:dyDescent="0.25">
      <c r="B216" s="168"/>
      <c r="C216" s="47" t="s">
        <v>325</v>
      </c>
      <c r="D216" s="84" t="s">
        <v>158</v>
      </c>
      <c r="E216" s="49" t="s">
        <v>956</v>
      </c>
      <c r="F216" s="50">
        <f t="shared" si="244"/>
        <v>0.92972961477580573</v>
      </c>
      <c r="G216" s="50" t="str">
        <f t="shared" ca="1" si="245"/>
        <v>No</v>
      </c>
      <c r="H216" s="51" t="str">
        <f t="shared" si="246"/>
        <v>Main - Genoa - Spinnaker</v>
      </c>
      <c r="I216" s="52">
        <v>40955</v>
      </c>
      <c r="J216" s="52"/>
      <c r="K216" s="53" t="s">
        <v>295</v>
      </c>
      <c r="L216" s="53" t="s">
        <v>148</v>
      </c>
      <c r="M216" s="54"/>
      <c r="N216" s="75" t="s">
        <v>149</v>
      </c>
      <c r="O216" s="75"/>
      <c r="P216" s="85"/>
      <c r="Q216" s="57">
        <v>15.765000000000001</v>
      </c>
      <c r="R216" s="58"/>
      <c r="S216" s="59">
        <f t="shared" si="218"/>
        <v>0.39412500000000006</v>
      </c>
      <c r="T216" s="60"/>
      <c r="U216" s="60"/>
      <c r="V216" s="61">
        <f t="shared" si="219"/>
        <v>15.765000000000001</v>
      </c>
      <c r="W216" s="62">
        <f>IF(RL&gt;0,IF(RL&gt;'Look Ups'!R$7,'Look Ups'!R$8,('Look Ups'!R$3*RL^3+'Look Ups'!R$4*RL^2+'Look Ups'!R$5*RL+'Look Ups'!R$6)),0)</f>
        <v>0.3</v>
      </c>
      <c r="X216" s="63">
        <v>7139</v>
      </c>
      <c r="Y216" s="64"/>
      <c r="Z216" s="64"/>
      <c r="AA216" s="64"/>
      <c r="AB216" s="65">
        <f t="shared" si="220"/>
        <v>7139</v>
      </c>
      <c r="AC216" s="66">
        <f t="shared" si="221"/>
        <v>7139</v>
      </c>
      <c r="AD216" s="67" t="s">
        <v>129</v>
      </c>
      <c r="AE216" s="68" t="s">
        <v>130</v>
      </c>
      <c r="AF216" s="69" t="s">
        <v>161</v>
      </c>
      <c r="AG216" s="70">
        <f>IF(C216="",0,VLOOKUP(AD216,'Look Ups'!$B$3:$C$6,2,0)*VLOOKUP(AE216,'Look Ups'!$E$3:$F$5,2,0)*VLOOKUP(AF216,'Look Ups'!$H$3:$I$7,2,0))</f>
        <v>0.99</v>
      </c>
      <c r="AH216" s="71">
        <v>20.45</v>
      </c>
      <c r="AI216" s="60">
        <v>20.2</v>
      </c>
      <c r="AJ216" s="60">
        <v>5</v>
      </c>
      <c r="AK216" s="60">
        <v>2.0299999999999998</v>
      </c>
      <c r="AL216" s="60">
        <v>0.52</v>
      </c>
      <c r="AM216" s="60">
        <v>20.2</v>
      </c>
      <c r="AN216" s="60">
        <v>0.17</v>
      </c>
      <c r="AO216" s="60">
        <v>5.0999999999999996</v>
      </c>
      <c r="AP216" s="60">
        <v>0.05</v>
      </c>
      <c r="AQ216" s="60"/>
      <c r="AR216" s="60" t="s">
        <v>132</v>
      </c>
      <c r="AS216" s="75"/>
      <c r="AT216" s="59">
        <f t="shared" si="222"/>
        <v>20.25</v>
      </c>
      <c r="AU216" s="59">
        <f t="shared" si="223"/>
        <v>0</v>
      </c>
      <c r="AV216" s="72">
        <f>IF(C216="",0,(0.5*(_ML1*LPM)+0.5*(_ML1*HB)+0.66*(P*PR)+0.66*(_ML2*RDM)+0.66*(E*ER))*VLOOKUP(BATT,'Look Ups'!$N$3:$O$4,2,0))</f>
        <v>81.249130000000008</v>
      </c>
      <c r="AW216" s="73"/>
      <c r="AX216" s="74"/>
      <c r="AY216" s="71">
        <v>18.77</v>
      </c>
      <c r="AZ216" s="60">
        <v>6.06</v>
      </c>
      <c r="BA216" s="60">
        <v>7.02</v>
      </c>
      <c r="BB216" s="60">
        <v>0.31</v>
      </c>
      <c r="BC216" s="60">
        <v>16.38</v>
      </c>
      <c r="BD216" s="60"/>
      <c r="BE216" s="60"/>
      <c r="BF216" s="60">
        <v>-0.23</v>
      </c>
      <c r="BG216" s="60">
        <v>-0.05</v>
      </c>
      <c r="BH216" s="75"/>
      <c r="BI216" s="72">
        <f t="shared" si="224"/>
        <v>55.203497999999996</v>
      </c>
      <c r="BJ216" s="76"/>
      <c r="BK216" s="77"/>
      <c r="BL216" s="78"/>
      <c r="BM216" s="78"/>
      <c r="BN216" s="77"/>
      <c r="BO216" s="78"/>
      <c r="BP216" s="78"/>
      <c r="BQ216" s="79">
        <f t="shared" si="225"/>
        <v>0</v>
      </c>
      <c r="BR216" s="80"/>
      <c r="BS216" s="77"/>
      <c r="BT216" s="77"/>
      <c r="BU216" s="77"/>
      <c r="BV216" s="77"/>
      <c r="BW216" s="77"/>
      <c r="BX216" s="77"/>
      <c r="BY216" s="72">
        <f t="shared" si="226"/>
        <v>0</v>
      </c>
      <c r="BZ216" s="73">
        <v>10.7</v>
      </c>
      <c r="CA216" s="60">
        <v>23.3</v>
      </c>
      <c r="CB216" s="60">
        <v>19.32</v>
      </c>
      <c r="CC216" s="60">
        <v>10.29</v>
      </c>
      <c r="CD216" s="65">
        <f t="shared" si="227"/>
        <v>96.168224299065415</v>
      </c>
      <c r="CE216" s="75"/>
      <c r="CF216" s="79">
        <f t="shared" si="228"/>
        <v>184.18943333333334</v>
      </c>
      <c r="CG216" s="71"/>
      <c r="CH216" s="60"/>
      <c r="CI216" s="60"/>
      <c r="CJ216" s="60"/>
      <c r="CK216" s="59" t="str">
        <f t="shared" si="247"/>
        <v/>
      </c>
      <c r="CL216" s="75"/>
      <c r="CM216" s="72">
        <f t="shared" si="229"/>
        <v>0</v>
      </c>
      <c r="CN216" s="81">
        <f t="shared" si="230"/>
        <v>1</v>
      </c>
      <c r="CO216" s="59">
        <f t="shared" si="231"/>
        <v>81.249130000000008</v>
      </c>
      <c r="CP216" s="59">
        <f t="shared" si="232"/>
        <v>1</v>
      </c>
      <c r="CQ216" s="59">
        <f t="shared" si="233"/>
        <v>55.203497999999996</v>
      </c>
      <c r="CR216" s="59">
        <f>IF(AV216&gt;0,'Look Ups'!$L$3,0)</f>
        <v>1</v>
      </c>
      <c r="CS216" s="59">
        <f t="shared" si="234"/>
        <v>0</v>
      </c>
      <c r="CT216" s="59">
        <f t="shared" si="248"/>
        <v>0</v>
      </c>
      <c r="CU216" s="59">
        <f t="shared" si="249"/>
        <v>0</v>
      </c>
      <c r="CV216" s="79">
        <f t="shared" si="250"/>
        <v>0</v>
      </c>
      <c r="CW216" s="82" t="str">
        <f t="shared" si="235"/>
        <v>-</v>
      </c>
      <c r="CX216" s="65" t="str">
        <f t="shared" si="236"/>
        <v>valid</v>
      </c>
      <c r="CY216" s="66" t="str">
        <f t="shared" si="251"/>
        <v>MGSp</v>
      </c>
      <c r="CZ216" s="81">
        <f t="shared" si="237"/>
        <v>136.452628</v>
      </c>
      <c r="DA216" s="59">
        <f t="shared" si="238"/>
        <v>38.695780599999999</v>
      </c>
      <c r="DB216" s="59">
        <f t="shared" si="239"/>
        <v>0</v>
      </c>
      <c r="DC216" s="59">
        <f t="shared" si="240"/>
        <v>38.050850923333336</v>
      </c>
      <c r="DD216" s="59">
        <f t="shared" si="241"/>
        <v>0</v>
      </c>
      <c r="DE216" s="79">
        <f t="shared" si="242"/>
        <v>139.265556256</v>
      </c>
      <c r="DF216" s="83">
        <f t="shared" si="243"/>
        <v>175.14840860000001</v>
      </c>
    </row>
    <row r="217" spans="2:110" ht="16.5" customHeight="1" x14ac:dyDescent="0.25">
      <c r="B217" s="47"/>
      <c r="C217" s="47" t="s">
        <v>326</v>
      </c>
      <c r="D217" s="48" t="s">
        <v>327</v>
      </c>
      <c r="E217" s="49" t="s">
        <v>328</v>
      </c>
      <c r="F217" s="50">
        <f t="shared" si="244"/>
        <v>1.0498129224565007</v>
      </c>
      <c r="G217" s="50" t="str">
        <f t="shared" ca="1" si="245"/>
        <v>Yes</v>
      </c>
      <c r="H217" s="51" t="str">
        <f t="shared" si="246"/>
        <v>Main - Genoa - Screacher - Spinnaker</v>
      </c>
      <c r="I217" s="52">
        <v>41354</v>
      </c>
      <c r="J217" s="52">
        <v>43499</v>
      </c>
      <c r="K217" s="53" t="s">
        <v>904</v>
      </c>
      <c r="L217" s="53" t="s">
        <v>841</v>
      </c>
      <c r="M217" s="54"/>
      <c r="N217" s="55" t="s">
        <v>127</v>
      </c>
      <c r="O217" s="55" t="s">
        <v>138</v>
      </c>
      <c r="P217" s="56"/>
      <c r="Q217" s="57">
        <v>9.14</v>
      </c>
      <c r="R217" s="58"/>
      <c r="S217" s="59">
        <f t="shared" si="218"/>
        <v>0.22850000000000004</v>
      </c>
      <c r="T217" s="60">
        <v>7.4999999999999997E-2</v>
      </c>
      <c r="U217" s="60">
        <v>0</v>
      </c>
      <c r="V217" s="61">
        <f t="shared" si="219"/>
        <v>9.0650000000000013</v>
      </c>
      <c r="W217" s="62">
        <f>IF(RL&gt;0,IF(RL&gt;'Look Ups'!R$7,'Look Ups'!R$8,('Look Ups'!R$3*RL^3+'Look Ups'!R$4*RL^2+'Look Ups'!R$5*RL+'Look Ups'!R$6)),0)</f>
        <v>0.29680559353762503</v>
      </c>
      <c r="X217" s="63">
        <f>1264-23</f>
        <v>1241</v>
      </c>
      <c r="Y217" s="64"/>
      <c r="Z217" s="274"/>
      <c r="AA217" s="64"/>
      <c r="AB217" s="65">
        <f t="shared" si="220"/>
        <v>1241</v>
      </c>
      <c r="AC217" s="66">
        <f t="shared" si="221"/>
        <v>1241</v>
      </c>
      <c r="AD217" s="67" t="s">
        <v>129</v>
      </c>
      <c r="AE217" s="68" t="s">
        <v>130</v>
      </c>
      <c r="AF217" s="69" t="s">
        <v>131</v>
      </c>
      <c r="AG217" s="70">
        <f>IF(C217="",0,VLOOKUP(AD217,'Look Ups'!$B$3:$C$6,2,0)*VLOOKUP(AE217,'Look Ups'!$E$3:$F$5,2,0)*VLOOKUP(AF217,'Look Ups'!$H$3:$I$7,2,0))</f>
        <v>1</v>
      </c>
      <c r="AH217" s="71">
        <v>14.62</v>
      </c>
      <c r="AI217" s="60">
        <v>14.36</v>
      </c>
      <c r="AJ217" s="60">
        <v>3.83</v>
      </c>
      <c r="AK217" s="60">
        <v>1.54</v>
      </c>
      <c r="AL217" s="60">
        <v>0.28999999999999998</v>
      </c>
      <c r="AM217" s="60">
        <v>14.25</v>
      </c>
      <c r="AN217" s="60">
        <v>0.1</v>
      </c>
      <c r="AO217" s="60">
        <v>3.95</v>
      </c>
      <c r="AP217" s="60">
        <v>0.04</v>
      </c>
      <c r="AQ217" s="60">
        <v>0.59599999999999997</v>
      </c>
      <c r="AR217" s="60" t="s">
        <v>132</v>
      </c>
      <c r="AS217" s="75">
        <v>0</v>
      </c>
      <c r="AT217" s="59">
        <f t="shared" si="222"/>
        <v>14.29</v>
      </c>
      <c r="AU217" s="59">
        <f t="shared" si="223"/>
        <v>3.1848749999999999</v>
      </c>
      <c r="AV217" s="72">
        <f>IF(C217="",0,(0.5*(_ML1*LPM)+0.5*(_ML1*HB)+0.66*(P*PR)+0.66*(_ML2*RDM)+0.66*(E*ER))*VLOOKUP(BATT,'Look Ups'!$N$3:$O$4,2,0))</f>
        <v>43.047984</v>
      </c>
      <c r="AW217" s="73"/>
      <c r="AX217" s="74"/>
      <c r="AY217" s="71">
        <v>9.9600000000000009</v>
      </c>
      <c r="AZ217" s="60">
        <v>3.23</v>
      </c>
      <c r="BA217" s="60">
        <v>3.46</v>
      </c>
      <c r="BB217" s="60">
        <v>0.16</v>
      </c>
      <c r="BC217" s="60">
        <v>9.27</v>
      </c>
      <c r="BD217" s="60">
        <v>8.76</v>
      </c>
      <c r="BE217" s="60">
        <v>0.36</v>
      </c>
      <c r="BF217" s="60">
        <v>-0.2</v>
      </c>
      <c r="BG217" s="60">
        <v>-0.05</v>
      </c>
      <c r="BH217" s="75">
        <v>0</v>
      </c>
      <c r="BI217" s="72">
        <f t="shared" si="224"/>
        <v>16.634376000000003</v>
      </c>
      <c r="BJ217" s="76"/>
      <c r="BK217" s="77"/>
      <c r="BL217" s="78"/>
      <c r="BM217" s="78"/>
      <c r="BN217" s="77"/>
      <c r="BO217" s="78"/>
      <c r="BP217" s="78"/>
      <c r="BQ217" s="79">
        <f t="shared" si="225"/>
        <v>0</v>
      </c>
      <c r="BR217" s="80"/>
      <c r="BS217" s="77"/>
      <c r="BT217" s="77"/>
      <c r="BU217" s="77"/>
      <c r="BV217" s="77"/>
      <c r="BW217" s="77"/>
      <c r="BX217" s="77"/>
      <c r="BY217" s="72">
        <f t="shared" si="226"/>
        <v>0</v>
      </c>
      <c r="BZ217" s="73">
        <v>8.7200000000000006</v>
      </c>
      <c r="CA217" s="60">
        <v>15.82</v>
      </c>
      <c r="CB217" s="60">
        <v>14.37</v>
      </c>
      <c r="CC217" s="60">
        <v>6.64</v>
      </c>
      <c r="CD217" s="65">
        <f t="shared" si="227"/>
        <v>76.146788990825669</v>
      </c>
      <c r="CE217" s="60">
        <v>0</v>
      </c>
      <c r="CF217" s="79">
        <f t="shared" si="228"/>
        <v>88.758599999999987</v>
      </c>
      <c r="CG217" s="71">
        <v>7.04</v>
      </c>
      <c r="CH217" s="60">
        <v>15.3</v>
      </c>
      <c r="CI217" s="60">
        <v>13.78</v>
      </c>
      <c r="CJ217" s="60">
        <v>3.58</v>
      </c>
      <c r="CK217" s="59">
        <f t="shared" si="247"/>
        <v>50.852272727272727</v>
      </c>
      <c r="CL217" s="60">
        <v>0</v>
      </c>
      <c r="CM217" s="72">
        <f t="shared" si="229"/>
        <v>51.7624</v>
      </c>
      <c r="CN217" s="81">
        <f t="shared" si="230"/>
        <v>1</v>
      </c>
      <c r="CO217" s="59">
        <f t="shared" si="231"/>
        <v>46.232858999999998</v>
      </c>
      <c r="CP217" s="59">
        <f t="shared" si="232"/>
        <v>1</v>
      </c>
      <c r="CQ217" s="59">
        <f t="shared" si="233"/>
        <v>16.634376000000003</v>
      </c>
      <c r="CR217" s="59">
        <f>IF(AV217&gt;0,'Look Ups'!$L$3,0)</f>
        <v>1</v>
      </c>
      <c r="CS217" s="59">
        <f t="shared" si="234"/>
        <v>0</v>
      </c>
      <c r="CT217" s="59">
        <f t="shared" si="248"/>
        <v>0</v>
      </c>
      <c r="CU217" s="59">
        <f t="shared" si="249"/>
        <v>0</v>
      </c>
      <c r="CV217" s="79">
        <f t="shared" si="250"/>
        <v>0</v>
      </c>
      <c r="CW217" s="82" t="str">
        <f t="shared" si="235"/>
        <v>valid</v>
      </c>
      <c r="CX217" s="65" t="str">
        <f t="shared" si="236"/>
        <v>valid</v>
      </c>
      <c r="CY217" s="66" t="str">
        <f t="shared" si="251"/>
        <v>MGScrSp</v>
      </c>
      <c r="CZ217" s="81">
        <f t="shared" si="237"/>
        <v>62.867235000000001</v>
      </c>
      <c r="DA217" s="59">
        <f t="shared" si="238"/>
        <v>21.637267199999993</v>
      </c>
      <c r="DB217" s="59">
        <f t="shared" si="239"/>
        <v>12.294808399999997</v>
      </c>
      <c r="DC217" s="59">
        <f t="shared" si="240"/>
        <v>21.276646079999995</v>
      </c>
      <c r="DD217" s="59">
        <f t="shared" si="241"/>
        <v>1.9320413199999997</v>
      </c>
      <c r="DE217" s="79">
        <f t="shared" si="242"/>
        <v>66.063871164000005</v>
      </c>
      <c r="DF217" s="83">
        <f t="shared" si="243"/>
        <v>86.075922399999996</v>
      </c>
    </row>
    <row r="218" spans="2:110" ht="16.5" customHeight="1" x14ac:dyDescent="0.25">
      <c r="B218" s="168"/>
      <c r="C218" s="47" t="s">
        <v>329</v>
      </c>
      <c r="D218" s="84" t="s">
        <v>203</v>
      </c>
      <c r="E218" s="49" t="s">
        <v>330</v>
      </c>
      <c r="F218" s="50">
        <f t="shared" si="244"/>
        <v>1.1382497809176617</v>
      </c>
      <c r="G218" s="50" t="str">
        <f t="shared" ca="1" si="245"/>
        <v>Yes</v>
      </c>
      <c r="H218" s="51" t="str">
        <f t="shared" si="246"/>
        <v>Main - Genoa - Screacher</v>
      </c>
      <c r="I218" s="52">
        <v>41487</v>
      </c>
      <c r="J218" s="52">
        <v>41494</v>
      </c>
      <c r="K218" s="53" t="s">
        <v>205</v>
      </c>
      <c r="L218" s="53" t="s">
        <v>137</v>
      </c>
      <c r="M218" s="54"/>
      <c r="N218" s="75" t="s">
        <v>149</v>
      </c>
      <c r="O218" s="75"/>
      <c r="P218" s="85"/>
      <c r="Q218" s="57">
        <v>8.5</v>
      </c>
      <c r="R218" s="58"/>
      <c r="S218" s="59">
        <f t="shared" si="218"/>
        <v>0.21250000000000002</v>
      </c>
      <c r="T218" s="60"/>
      <c r="U218" s="60"/>
      <c r="V218" s="61">
        <f t="shared" si="219"/>
        <v>8.5</v>
      </c>
      <c r="W218" s="62">
        <f>IF(RL&gt;0,IF(RL&gt;'Look Ups'!R$7,'Look Ups'!R$8,('Look Ups'!R$3*RL^3+'Look Ups'!R$4*RL^2+'Look Ups'!R$5*RL+'Look Ups'!R$6)),0)</f>
        <v>0.29536612500000003</v>
      </c>
      <c r="X218" s="63">
        <v>660</v>
      </c>
      <c r="Y218" s="64"/>
      <c r="Z218" s="64"/>
      <c r="AA218" s="64"/>
      <c r="AB218" s="65">
        <f t="shared" si="220"/>
        <v>660</v>
      </c>
      <c r="AC218" s="66">
        <f t="shared" si="221"/>
        <v>660</v>
      </c>
      <c r="AD218" s="67" t="s">
        <v>129</v>
      </c>
      <c r="AE218" s="68" t="s">
        <v>130</v>
      </c>
      <c r="AF218" s="69" t="s">
        <v>131</v>
      </c>
      <c r="AG218" s="70">
        <f>IF(C218="",0,VLOOKUP(AD218,'Look Ups'!$B$3:$C$6,2,0)*VLOOKUP(AE218,'Look Ups'!$E$3:$F$5,2,0)*VLOOKUP(AF218,'Look Ups'!$H$3:$I$7,2,0))</f>
        <v>1</v>
      </c>
      <c r="AH218" s="71">
        <v>12.62</v>
      </c>
      <c r="AI218" s="60">
        <v>12.21</v>
      </c>
      <c r="AJ218" s="60">
        <v>3.51</v>
      </c>
      <c r="AK218" s="60">
        <v>1.41</v>
      </c>
      <c r="AL218" s="60">
        <v>0.21</v>
      </c>
      <c r="AM218" s="60">
        <v>12.5</v>
      </c>
      <c r="AN218" s="60">
        <v>0.13</v>
      </c>
      <c r="AO218" s="60">
        <v>3.61</v>
      </c>
      <c r="AP218" s="60">
        <v>0.08</v>
      </c>
      <c r="AQ218" s="60">
        <v>0.53</v>
      </c>
      <c r="AR218" s="60" t="s">
        <v>132</v>
      </c>
      <c r="AS218" s="75"/>
      <c r="AT218" s="59">
        <f t="shared" si="222"/>
        <v>12.58</v>
      </c>
      <c r="AU218" s="59">
        <f t="shared" si="223"/>
        <v>2.484375</v>
      </c>
      <c r="AV218" s="72">
        <f>IF(C218="",0,(0.5*(_ML1*LPM)+0.5*(_ML1*HB)+0.66*(P*PR)+0.66*(_ML2*RDM)+0.66*(E*ER))*VLOOKUP(BATT,'Look Ups'!$N$3:$O$4,2,0))</f>
        <v>34.000613999999992</v>
      </c>
      <c r="AW218" s="73"/>
      <c r="AX218" s="74"/>
      <c r="AY218" s="71">
        <v>10.86</v>
      </c>
      <c r="AZ218" s="60">
        <v>2.5</v>
      </c>
      <c r="BA218" s="60">
        <v>2.62</v>
      </c>
      <c r="BB218" s="60">
        <v>0.1</v>
      </c>
      <c r="BC218" s="60">
        <v>10.33</v>
      </c>
      <c r="BD218" s="60"/>
      <c r="BE218" s="60"/>
      <c r="BF218" s="60">
        <v>0.05</v>
      </c>
      <c r="BG218" s="60">
        <v>0.03</v>
      </c>
      <c r="BH218" s="75"/>
      <c r="BI218" s="72">
        <f t="shared" si="224"/>
        <v>14.303837999999999</v>
      </c>
      <c r="BJ218" s="76"/>
      <c r="BK218" s="77"/>
      <c r="BL218" s="78"/>
      <c r="BM218" s="78"/>
      <c r="BN218" s="77"/>
      <c r="BO218" s="78"/>
      <c r="BP218" s="78"/>
      <c r="BQ218" s="79">
        <f t="shared" si="225"/>
        <v>0</v>
      </c>
      <c r="BR218" s="80"/>
      <c r="BS218" s="77"/>
      <c r="BT218" s="77"/>
      <c r="BU218" s="77"/>
      <c r="BV218" s="77"/>
      <c r="BW218" s="77"/>
      <c r="BX218" s="77"/>
      <c r="BY218" s="72">
        <f t="shared" si="226"/>
        <v>0</v>
      </c>
      <c r="BZ218" s="73"/>
      <c r="CA218" s="60"/>
      <c r="CB218" s="60"/>
      <c r="CC218" s="60"/>
      <c r="CD218" s="65" t="str">
        <f t="shared" si="227"/>
        <v/>
      </c>
      <c r="CE218" s="75"/>
      <c r="CF218" s="79">
        <f t="shared" si="228"/>
        <v>0</v>
      </c>
      <c r="CG218" s="71">
        <v>8.2100000000000009</v>
      </c>
      <c r="CH218" s="60">
        <v>12.61</v>
      </c>
      <c r="CI218" s="60">
        <v>12.22</v>
      </c>
      <c r="CJ218" s="60">
        <v>5.16</v>
      </c>
      <c r="CK218" s="59">
        <f t="shared" si="247"/>
        <v>62.850182704019488</v>
      </c>
      <c r="CL218" s="75"/>
      <c r="CM218" s="72">
        <f t="shared" si="229"/>
        <v>59.695458333333328</v>
      </c>
      <c r="CN218" s="81">
        <f t="shared" si="230"/>
        <v>1</v>
      </c>
      <c r="CO218" s="59">
        <f t="shared" si="231"/>
        <v>36.484988999999992</v>
      </c>
      <c r="CP218" s="59">
        <f t="shared" si="232"/>
        <v>1</v>
      </c>
      <c r="CQ218" s="59">
        <f t="shared" si="233"/>
        <v>14.303837999999999</v>
      </c>
      <c r="CR218" s="59">
        <f>IF(AV218&gt;0,'Look Ups'!$L$3,0)</f>
        <v>1</v>
      </c>
      <c r="CS218" s="59">
        <f t="shared" si="234"/>
        <v>0</v>
      </c>
      <c r="CT218" s="59">
        <f t="shared" si="248"/>
        <v>0</v>
      </c>
      <c r="CU218" s="59">
        <f t="shared" si="249"/>
        <v>0</v>
      </c>
      <c r="CV218" s="79">
        <f t="shared" si="250"/>
        <v>0</v>
      </c>
      <c r="CW218" s="82" t="str">
        <f t="shared" si="235"/>
        <v>valid</v>
      </c>
      <c r="CX218" s="65" t="str">
        <f t="shared" si="236"/>
        <v>-</v>
      </c>
      <c r="CY218" s="66" t="str">
        <f t="shared" si="251"/>
        <v>MGScr</v>
      </c>
      <c r="CZ218" s="81">
        <f t="shared" si="237"/>
        <v>50.788826999999991</v>
      </c>
      <c r="DA218" s="59">
        <f t="shared" si="238"/>
        <v>0</v>
      </c>
      <c r="DB218" s="59">
        <f t="shared" si="239"/>
        <v>15.887067116666664</v>
      </c>
      <c r="DC218" s="59">
        <f t="shared" si="240"/>
        <v>0</v>
      </c>
      <c r="DD218" s="59">
        <f t="shared" si="241"/>
        <v>2.4965391183333332</v>
      </c>
      <c r="DE218" s="79">
        <f t="shared" si="242"/>
        <v>53.184391307999988</v>
      </c>
      <c r="DF218" s="83">
        <f t="shared" si="243"/>
        <v>66.675894116666655</v>
      </c>
    </row>
    <row r="219" spans="2:110" ht="16.5" customHeight="1" x14ac:dyDescent="0.25">
      <c r="B219" s="47"/>
      <c r="C219" s="47" t="s">
        <v>331</v>
      </c>
      <c r="D219" s="48"/>
      <c r="E219" s="49" t="s">
        <v>332</v>
      </c>
      <c r="F219" s="50">
        <f t="shared" si="244"/>
        <v>0.83897771430558166</v>
      </c>
      <c r="G219" s="50" t="str">
        <f t="shared" ca="1" si="245"/>
        <v>No</v>
      </c>
      <c r="H219" s="51" t="str">
        <f t="shared" si="246"/>
        <v>Main - Genoa - Screacher - Spinnaker</v>
      </c>
      <c r="I219" s="52">
        <v>37988</v>
      </c>
      <c r="J219" s="52"/>
      <c r="K219" s="53"/>
      <c r="L219" s="53" t="s">
        <v>333</v>
      </c>
      <c r="M219" s="54"/>
      <c r="N219" s="55" t="s">
        <v>127</v>
      </c>
      <c r="O219" s="55"/>
      <c r="P219" s="56"/>
      <c r="Q219" s="57">
        <v>9.5</v>
      </c>
      <c r="R219" s="58"/>
      <c r="S219" s="59">
        <f t="shared" si="218"/>
        <v>0.23750000000000002</v>
      </c>
      <c r="T219" s="60">
        <v>0.09</v>
      </c>
      <c r="U219" s="60">
        <v>0</v>
      </c>
      <c r="V219" s="61">
        <f t="shared" si="219"/>
        <v>9.41</v>
      </c>
      <c r="W219" s="62">
        <f>IF(RL&gt;0,IF(RL&gt;'Look Ups'!R$7,'Look Ups'!R$8,('Look Ups'!R$3*RL^3+'Look Ups'!R$4*RL^2+'Look Ups'!R$5*RL+'Look Ups'!R$6)),0)</f>
        <v>0.29752450149300003</v>
      </c>
      <c r="X219" s="63">
        <v>2290</v>
      </c>
      <c r="Y219" s="64"/>
      <c r="Z219" s="64"/>
      <c r="AA219" s="64"/>
      <c r="AB219" s="65">
        <f t="shared" si="220"/>
        <v>2290</v>
      </c>
      <c r="AC219" s="66">
        <f t="shared" si="221"/>
        <v>2290</v>
      </c>
      <c r="AD219" s="67" t="s">
        <v>129</v>
      </c>
      <c r="AE219" s="68" t="s">
        <v>130</v>
      </c>
      <c r="AF219" s="69" t="s">
        <v>131</v>
      </c>
      <c r="AG219" s="70">
        <f>IF(C219="",0,VLOOKUP(AD219,'Look Ups'!$B$3:$C$6,2,0)*VLOOKUP(AE219,'Look Ups'!$E$3:$F$5,2,0)*VLOOKUP(AF219,'Look Ups'!$H$3:$I$7,2,0))</f>
        <v>1</v>
      </c>
      <c r="AH219" s="71">
        <v>11.71</v>
      </c>
      <c r="AI219" s="60">
        <v>11.52</v>
      </c>
      <c r="AJ219" s="60">
        <v>4.09</v>
      </c>
      <c r="AK219" s="60">
        <v>0.95</v>
      </c>
      <c r="AL219" s="60">
        <v>0.95</v>
      </c>
      <c r="AM219" s="60">
        <v>11.08</v>
      </c>
      <c r="AN219" s="60">
        <v>0.09</v>
      </c>
      <c r="AO219" s="60">
        <v>4.32</v>
      </c>
      <c r="AP219" s="60">
        <v>0</v>
      </c>
      <c r="AQ219" s="60"/>
      <c r="AR219" s="60" t="s">
        <v>132</v>
      </c>
      <c r="AS219" s="75"/>
      <c r="AT219" s="59">
        <f t="shared" si="222"/>
        <v>11.08</v>
      </c>
      <c r="AU219" s="59">
        <f t="shared" si="223"/>
        <v>0</v>
      </c>
      <c r="AV219" s="72">
        <f>IF(C219="",0,(0.5*(_ML1*LPM)+0.5*(_ML1*HB)+0.66*(P*PR)+0.66*(_ML2*RDM)+0.66*(E*ER))*VLOOKUP(BATT,'Look Ups'!$N$3:$O$4,2,0))</f>
        <v>37.390391999999999</v>
      </c>
      <c r="AW219" s="73"/>
      <c r="AX219" s="74"/>
      <c r="AY219" s="71">
        <v>10.37</v>
      </c>
      <c r="AZ219" s="60">
        <v>3.56</v>
      </c>
      <c r="BA219" s="60">
        <v>3.78</v>
      </c>
      <c r="BB219" s="60">
        <v>0.1</v>
      </c>
      <c r="BC219" s="60">
        <v>9.64</v>
      </c>
      <c r="BD219" s="60"/>
      <c r="BE219" s="60"/>
      <c r="BF219" s="60">
        <v>-0.09</v>
      </c>
      <c r="BG219" s="60">
        <v>-7.0000000000000007E-2</v>
      </c>
      <c r="BH219" s="75" t="s">
        <v>165</v>
      </c>
      <c r="BI219" s="72">
        <f t="shared" si="224"/>
        <v>17.656369999999999</v>
      </c>
      <c r="BJ219" s="76"/>
      <c r="BK219" s="77"/>
      <c r="BL219" s="78"/>
      <c r="BM219" s="78"/>
      <c r="BN219" s="77"/>
      <c r="BO219" s="78"/>
      <c r="BP219" s="78"/>
      <c r="BQ219" s="79">
        <f t="shared" si="225"/>
        <v>0</v>
      </c>
      <c r="BR219" s="80"/>
      <c r="BS219" s="77"/>
      <c r="BT219" s="77"/>
      <c r="BU219" s="77"/>
      <c r="BV219" s="77"/>
      <c r="BW219" s="77"/>
      <c r="BX219" s="77"/>
      <c r="BY219" s="72">
        <f t="shared" si="226"/>
        <v>0</v>
      </c>
      <c r="BZ219" s="73">
        <v>8.3800000000000008</v>
      </c>
      <c r="CA219" s="60">
        <v>14.17</v>
      </c>
      <c r="CB219" s="60">
        <v>11.88</v>
      </c>
      <c r="CC219" s="60">
        <v>7.65</v>
      </c>
      <c r="CD219" s="65">
        <f t="shared" si="227"/>
        <v>91.288782816229102</v>
      </c>
      <c r="CE219" s="60"/>
      <c r="CF219" s="79">
        <f t="shared" si="228"/>
        <v>84.619083333333336</v>
      </c>
      <c r="CG219" s="71">
        <v>10.5</v>
      </c>
      <c r="CH219" s="60">
        <v>16.100000000000001</v>
      </c>
      <c r="CI219" s="60">
        <v>14.8</v>
      </c>
      <c r="CJ219" s="60">
        <v>5.3</v>
      </c>
      <c r="CK219" s="59">
        <f t="shared" si="247"/>
        <v>50.476190476190474</v>
      </c>
      <c r="CL219" s="60"/>
      <c r="CM219" s="72">
        <f t="shared" si="229"/>
        <v>81.627500000000012</v>
      </c>
      <c r="CN219" s="81">
        <f t="shared" si="230"/>
        <v>1</v>
      </c>
      <c r="CO219" s="59">
        <f t="shared" si="231"/>
        <v>37.390391999999999</v>
      </c>
      <c r="CP219" s="59">
        <f t="shared" si="232"/>
        <v>1</v>
      </c>
      <c r="CQ219" s="59">
        <f t="shared" si="233"/>
        <v>17.656369999999999</v>
      </c>
      <c r="CR219" s="59">
        <f>IF(AV219&gt;0,'Look Ups'!$L$3,0)</f>
        <v>1</v>
      </c>
      <c r="CS219" s="59">
        <f t="shared" si="234"/>
        <v>0</v>
      </c>
      <c r="CT219" s="59">
        <f t="shared" si="248"/>
        <v>0</v>
      </c>
      <c r="CU219" s="59">
        <f t="shared" si="249"/>
        <v>0</v>
      </c>
      <c r="CV219" s="79">
        <f t="shared" si="250"/>
        <v>0</v>
      </c>
      <c r="CW219" s="82" t="str">
        <f t="shared" si="235"/>
        <v>valid</v>
      </c>
      <c r="CX219" s="65" t="str">
        <f t="shared" si="236"/>
        <v>valid</v>
      </c>
      <c r="CY219" s="66" t="str">
        <f t="shared" si="251"/>
        <v>MGScrSp</v>
      </c>
      <c r="CZ219" s="81">
        <f t="shared" si="237"/>
        <v>55.046762000000001</v>
      </c>
      <c r="DA219" s="59">
        <f t="shared" si="238"/>
        <v>20.088814000000003</v>
      </c>
      <c r="DB219" s="59">
        <f t="shared" si="239"/>
        <v>22.389895500000005</v>
      </c>
      <c r="DC219" s="59">
        <f t="shared" si="240"/>
        <v>19.754000433333335</v>
      </c>
      <c r="DD219" s="59">
        <f t="shared" si="241"/>
        <v>3.518412150000001</v>
      </c>
      <c r="DE219" s="79">
        <f t="shared" si="242"/>
        <v>57.178036376000001</v>
      </c>
      <c r="DF219" s="83">
        <f t="shared" si="243"/>
        <v>78.319174583333336</v>
      </c>
    </row>
    <row r="220" spans="2:110" ht="16.5" customHeight="1" x14ac:dyDescent="0.25">
      <c r="B220" s="47"/>
      <c r="C220" s="168" t="s">
        <v>686</v>
      </c>
      <c r="D220" s="169" t="s">
        <v>170</v>
      </c>
      <c r="E220" s="170" t="s">
        <v>312</v>
      </c>
      <c r="F220" s="50">
        <f t="shared" si="244"/>
        <v>0.8649392836523474</v>
      </c>
      <c r="G220" s="50" t="str">
        <f t="shared" ca="1" si="245"/>
        <v>No</v>
      </c>
      <c r="H220" s="51" t="str">
        <f t="shared" si="246"/>
        <v>Main - Genoa - Spinnaker</v>
      </c>
      <c r="I220" s="171">
        <v>40097</v>
      </c>
      <c r="J220" s="171">
        <v>40102</v>
      </c>
      <c r="K220" s="172" t="s">
        <v>571</v>
      </c>
      <c r="L220" s="172" t="s">
        <v>143</v>
      </c>
      <c r="M220" s="171"/>
      <c r="N220" s="87" t="s">
        <v>537</v>
      </c>
      <c r="O220" s="87"/>
      <c r="P220" s="186"/>
      <c r="Q220" s="175">
        <v>7.32</v>
      </c>
      <c r="R220" s="78"/>
      <c r="S220" s="59">
        <f t="shared" si="218"/>
        <v>0.18300000000000002</v>
      </c>
      <c r="T220" s="176">
        <v>0.14000000000000001</v>
      </c>
      <c r="U220" s="176"/>
      <c r="V220" s="61">
        <f t="shared" si="219"/>
        <v>7.1800000000000006</v>
      </c>
      <c r="W220" s="62">
        <f>IF(RL&gt;0,IF(RL&gt;'Look Ups'!R$7,'Look Ups'!R$8,('Look Ups'!R$3*RL^3+'Look Ups'!R$4*RL^2+'Look Ups'!R$5*RL+'Look Ups'!R$6)),0)</f>
        <v>0.29055146565600004</v>
      </c>
      <c r="X220" s="177">
        <f>1415-480</f>
        <v>935</v>
      </c>
      <c r="Y220" s="178"/>
      <c r="Z220" s="178"/>
      <c r="AA220" s="178"/>
      <c r="AB220" s="65">
        <f t="shared" si="220"/>
        <v>935</v>
      </c>
      <c r="AC220" s="66">
        <f t="shared" si="221"/>
        <v>935</v>
      </c>
      <c r="AD220" s="179" t="s">
        <v>129</v>
      </c>
      <c r="AE220" s="180" t="s">
        <v>130</v>
      </c>
      <c r="AF220" s="181" t="s">
        <v>131</v>
      </c>
      <c r="AG220" s="70">
        <f>IF(C220="",0,VLOOKUP(AD220,'Look Ups'!$B$3:$C$6,2,0)*VLOOKUP(AE220,'Look Ups'!$E$3:$F$5,2,0)*VLOOKUP(AF220,'Look Ups'!$H$3:$I$7,2,0))</f>
        <v>1</v>
      </c>
      <c r="AH220" s="80">
        <v>10.14</v>
      </c>
      <c r="AI220" s="77">
        <v>9.9</v>
      </c>
      <c r="AJ220" s="77">
        <v>3.12</v>
      </c>
      <c r="AK220" s="77">
        <v>0.7</v>
      </c>
      <c r="AL220" s="77">
        <v>0.69</v>
      </c>
      <c r="AM220" s="77">
        <v>9.7799999999999994</v>
      </c>
      <c r="AN220" s="77">
        <v>0.1</v>
      </c>
      <c r="AO220" s="77">
        <v>3.26</v>
      </c>
      <c r="AP220" s="77">
        <v>0</v>
      </c>
      <c r="AQ220" s="77">
        <v>0.49</v>
      </c>
      <c r="AR220" s="77" t="s">
        <v>132</v>
      </c>
      <c r="AS220" s="87"/>
      <c r="AT220" s="59">
        <f t="shared" si="222"/>
        <v>9.7799999999999994</v>
      </c>
      <c r="AU220" s="59">
        <f t="shared" si="223"/>
        <v>1.7970749999999998</v>
      </c>
      <c r="AV220" s="72">
        <f>IF(C220="",0,(0.5*(_ML1*LPM)+0.5*(_ML1*HB)+0.66*(P*PR)+0.66*(_ML2*RDM)+0.66*(E*ER))*VLOOKUP(BATT,'Look Ups'!$N$3:$O$4,2,0))</f>
        <v>24.521340000000002</v>
      </c>
      <c r="AW220" s="182"/>
      <c r="AX220" s="183"/>
      <c r="AY220" s="80">
        <v>8.8699999999999992</v>
      </c>
      <c r="AZ220" s="77">
        <v>2.5499999999999998</v>
      </c>
      <c r="BA220" s="77">
        <v>2.89</v>
      </c>
      <c r="BB220" s="77">
        <v>0.13</v>
      </c>
      <c r="BC220" s="77">
        <v>7.97</v>
      </c>
      <c r="BD220" s="77"/>
      <c r="BE220" s="77"/>
      <c r="BF220" s="77">
        <v>0.30000000000000004</v>
      </c>
      <c r="BG220" s="77">
        <v>0</v>
      </c>
      <c r="BH220" s="87"/>
      <c r="BI220" s="72">
        <f t="shared" si="224"/>
        <v>13.135271999999999</v>
      </c>
      <c r="BJ220" s="76"/>
      <c r="BK220" s="77"/>
      <c r="BL220" s="78"/>
      <c r="BM220" s="78"/>
      <c r="BN220" s="77"/>
      <c r="BO220" s="78"/>
      <c r="BP220" s="78"/>
      <c r="BQ220" s="79">
        <f t="shared" si="225"/>
        <v>0</v>
      </c>
      <c r="BR220" s="80"/>
      <c r="BS220" s="77"/>
      <c r="BT220" s="77"/>
      <c r="BU220" s="77"/>
      <c r="BV220" s="77"/>
      <c r="BW220" s="77"/>
      <c r="BX220" s="77"/>
      <c r="BY220" s="72">
        <f t="shared" si="226"/>
        <v>0</v>
      </c>
      <c r="BZ220" s="182">
        <v>6.94</v>
      </c>
      <c r="CA220" s="77">
        <v>11.6</v>
      </c>
      <c r="CB220" s="77">
        <v>10.119999999999999</v>
      </c>
      <c r="CC220" s="77">
        <v>5.7</v>
      </c>
      <c r="CD220" s="65">
        <f t="shared" si="227"/>
        <v>82.132564841498549</v>
      </c>
      <c r="CE220" s="77"/>
      <c r="CF220" s="79">
        <f t="shared" si="228"/>
        <v>53.829399999999993</v>
      </c>
      <c r="CG220" s="80"/>
      <c r="CH220" s="77"/>
      <c r="CI220" s="77"/>
      <c r="CJ220" s="77"/>
      <c r="CK220" s="59" t="str">
        <f t="shared" si="247"/>
        <v/>
      </c>
      <c r="CL220" s="77"/>
      <c r="CM220" s="72">
        <f t="shared" si="229"/>
        <v>0</v>
      </c>
      <c r="CN220" s="81">
        <f t="shared" si="230"/>
        <v>1</v>
      </c>
      <c r="CO220" s="59">
        <f t="shared" si="231"/>
        <v>26.318415000000002</v>
      </c>
      <c r="CP220" s="59">
        <f t="shared" si="232"/>
        <v>1</v>
      </c>
      <c r="CQ220" s="59">
        <f t="shared" si="233"/>
        <v>13.135271999999999</v>
      </c>
      <c r="CR220" s="59">
        <f>IF(AV220&gt;0,'Look Ups'!$L$3,0)</f>
        <v>1</v>
      </c>
      <c r="CS220" s="59">
        <f t="shared" si="234"/>
        <v>0</v>
      </c>
      <c r="CT220" s="59">
        <f t="shared" si="248"/>
        <v>0</v>
      </c>
      <c r="CU220" s="59">
        <f t="shared" si="249"/>
        <v>0</v>
      </c>
      <c r="CV220" s="79">
        <f t="shared" si="250"/>
        <v>0</v>
      </c>
      <c r="CW220" s="82" t="str">
        <f t="shared" si="235"/>
        <v>-</v>
      </c>
      <c r="CX220" s="65" t="str">
        <f t="shared" si="236"/>
        <v>valid</v>
      </c>
      <c r="CY220" s="66" t="str">
        <f t="shared" si="251"/>
        <v>MGSp</v>
      </c>
      <c r="CZ220" s="81">
        <f t="shared" si="237"/>
        <v>39.453687000000002</v>
      </c>
      <c r="DA220" s="59">
        <f t="shared" si="238"/>
        <v>12.208238399999997</v>
      </c>
      <c r="DB220" s="59">
        <f t="shared" si="239"/>
        <v>0</v>
      </c>
      <c r="DC220" s="59">
        <f t="shared" si="240"/>
        <v>12.004767759999996</v>
      </c>
      <c r="DD220" s="59">
        <f t="shared" si="241"/>
        <v>0</v>
      </c>
      <c r="DE220" s="79">
        <f t="shared" si="242"/>
        <v>40.877466444</v>
      </c>
      <c r="DF220" s="83">
        <f t="shared" si="243"/>
        <v>51.661925400000001</v>
      </c>
    </row>
    <row r="221" spans="2:110" ht="16.5" customHeight="1" x14ac:dyDescent="0.25">
      <c r="B221" s="168"/>
      <c r="C221" s="47" t="s">
        <v>337</v>
      </c>
      <c r="D221" s="84" t="s">
        <v>170</v>
      </c>
      <c r="E221" s="49" t="s">
        <v>338</v>
      </c>
      <c r="F221" s="50">
        <f t="shared" si="244"/>
        <v>0.84951518818488958</v>
      </c>
      <c r="G221" s="50" t="str">
        <f t="shared" ca="1" si="245"/>
        <v>No</v>
      </c>
      <c r="H221" s="51" t="str">
        <f t="shared" si="246"/>
        <v>Main - Genoa - Screacher - Spinnaker</v>
      </c>
      <c r="I221" s="52">
        <v>41130</v>
      </c>
      <c r="J221" s="52">
        <v>41130</v>
      </c>
      <c r="K221" s="53" t="s">
        <v>171</v>
      </c>
      <c r="L221" s="53" t="s">
        <v>137</v>
      </c>
      <c r="M221" s="54"/>
      <c r="N221" s="55" t="s">
        <v>127</v>
      </c>
      <c r="O221" s="55" t="s">
        <v>128</v>
      </c>
      <c r="P221" s="85"/>
      <c r="Q221" s="57">
        <v>7.3</v>
      </c>
      <c r="R221" s="58"/>
      <c r="S221" s="59">
        <f t="shared" si="218"/>
        <v>0.1825</v>
      </c>
      <c r="T221" s="60">
        <v>0.01</v>
      </c>
      <c r="U221" s="60">
        <v>0</v>
      </c>
      <c r="V221" s="61">
        <f t="shared" si="219"/>
        <v>7.29</v>
      </c>
      <c r="W221" s="62">
        <f>IF(RL&gt;0,IF(RL&gt;'Look Ups'!R$7,'Look Ups'!R$8,('Look Ups'!R$3*RL^3+'Look Ups'!R$4*RL^2+'Look Ups'!R$5*RL+'Look Ups'!R$6)),0)</f>
        <v>0.29103813613700003</v>
      </c>
      <c r="X221" s="63">
        <v>1018</v>
      </c>
      <c r="Y221" s="64"/>
      <c r="Z221" s="64"/>
      <c r="AA221" s="64"/>
      <c r="AB221" s="65">
        <f t="shared" si="220"/>
        <v>1018</v>
      </c>
      <c r="AC221" s="66">
        <f t="shared" si="221"/>
        <v>1018</v>
      </c>
      <c r="AD221" s="67" t="s">
        <v>129</v>
      </c>
      <c r="AE221" s="68" t="s">
        <v>130</v>
      </c>
      <c r="AF221" s="69" t="s">
        <v>131</v>
      </c>
      <c r="AG221" s="70">
        <f>IF(C221="",0,VLOOKUP(AD221,'Look Ups'!$B$3:$C$6,2,0)*VLOOKUP(AE221,'Look Ups'!$E$3:$F$5,2,0)*VLOOKUP(AF221,'Look Ups'!$H$3:$I$7,2,0))</f>
        <v>1</v>
      </c>
      <c r="AH221" s="71">
        <v>10.9</v>
      </c>
      <c r="AI221" s="60">
        <v>9.89</v>
      </c>
      <c r="AJ221" s="60">
        <v>3.06</v>
      </c>
      <c r="AK221" s="60">
        <v>1.17</v>
      </c>
      <c r="AL221" s="60">
        <v>0.26</v>
      </c>
      <c r="AM221" s="60">
        <v>9.6999999999999993</v>
      </c>
      <c r="AN221" s="60">
        <v>0.09</v>
      </c>
      <c r="AO221" s="60">
        <v>3.21</v>
      </c>
      <c r="AP221" s="60">
        <v>0.03</v>
      </c>
      <c r="AQ221" s="60">
        <v>0.49</v>
      </c>
      <c r="AR221" s="60" t="s">
        <v>132</v>
      </c>
      <c r="AS221" s="75">
        <v>0</v>
      </c>
      <c r="AT221" s="59">
        <f t="shared" si="222"/>
        <v>9.7299999999999986</v>
      </c>
      <c r="AU221" s="59">
        <f t="shared" si="223"/>
        <v>1.7823749999999998</v>
      </c>
      <c r="AV221" s="72">
        <f>IF(C221="",0,(0.5*(_ML1*LPM)+0.5*(_ML1*HB)+0.66*(P*PR)+0.66*(_ML2*RDM)+0.66*(E*ER))*VLOOKUP(BATT,'Look Ups'!$N$3:$O$4,2,0))</f>
        <v>25.390362</v>
      </c>
      <c r="AW221" s="73"/>
      <c r="AX221" s="74"/>
      <c r="AY221" s="71">
        <v>8.6999999999999993</v>
      </c>
      <c r="AZ221" s="60">
        <v>2.68</v>
      </c>
      <c r="BA221" s="60">
        <v>2.95</v>
      </c>
      <c r="BB221" s="60">
        <v>0.16</v>
      </c>
      <c r="BC221" s="60">
        <v>7.93</v>
      </c>
      <c r="BD221" s="60"/>
      <c r="BE221" s="60"/>
      <c r="BF221" s="60">
        <v>0.1</v>
      </c>
      <c r="BG221" s="60">
        <v>0</v>
      </c>
      <c r="BH221" s="75">
        <v>0</v>
      </c>
      <c r="BI221" s="72">
        <f t="shared" si="224"/>
        <v>12.492899999999999</v>
      </c>
      <c r="BJ221" s="76"/>
      <c r="BK221" s="77"/>
      <c r="BL221" s="78"/>
      <c r="BM221" s="78"/>
      <c r="BN221" s="77"/>
      <c r="BO221" s="78"/>
      <c r="BP221" s="78"/>
      <c r="BQ221" s="79">
        <f t="shared" si="225"/>
        <v>0</v>
      </c>
      <c r="BR221" s="80"/>
      <c r="BS221" s="77"/>
      <c r="BT221" s="77"/>
      <c r="BU221" s="77"/>
      <c r="BV221" s="77"/>
      <c r="BW221" s="77"/>
      <c r="BX221" s="77"/>
      <c r="BY221" s="72">
        <f t="shared" si="226"/>
        <v>0</v>
      </c>
      <c r="BZ221" s="73">
        <v>6.85</v>
      </c>
      <c r="CA221" s="60">
        <v>10.7</v>
      </c>
      <c r="CB221" s="60">
        <v>10.02</v>
      </c>
      <c r="CC221" s="60">
        <v>5.83</v>
      </c>
      <c r="CD221" s="65">
        <f t="shared" si="227"/>
        <v>85.109489051094897</v>
      </c>
      <c r="CE221" s="75">
        <v>0</v>
      </c>
      <c r="CF221" s="79">
        <f t="shared" si="228"/>
        <v>52.093533333333326</v>
      </c>
      <c r="CG221" s="71">
        <v>5.87</v>
      </c>
      <c r="CH221" s="60">
        <v>9.9600000000000009</v>
      </c>
      <c r="CI221" s="60">
        <v>8.98</v>
      </c>
      <c r="CJ221" s="60">
        <v>3.01</v>
      </c>
      <c r="CK221" s="59">
        <f t="shared" si="247"/>
        <v>51.277683134582617</v>
      </c>
      <c r="CL221" s="75">
        <v>0</v>
      </c>
      <c r="CM221" s="72">
        <f t="shared" si="229"/>
        <v>28.267949999999999</v>
      </c>
      <c r="CN221" s="81">
        <f t="shared" si="230"/>
        <v>1</v>
      </c>
      <c r="CO221" s="59">
        <f t="shared" si="231"/>
        <v>27.172736999999998</v>
      </c>
      <c r="CP221" s="59">
        <f t="shared" si="232"/>
        <v>1</v>
      </c>
      <c r="CQ221" s="59">
        <f t="shared" si="233"/>
        <v>12.492899999999999</v>
      </c>
      <c r="CR221" s="59">
        <f>IF(AV221&gt;0,'Look Ups'!$L$3,0)</f>
        <v>1</v>
      </c>
      <c r="CS221" s="59">
        <f t="shared" si="234"/>
        <v>0</v>
      </c>
      <c r="CT221" s="59">
        <f t="shared" si="248"/>
        <v>0</v>
      </c>
      <c r="CU221" s="59">
        <f t="shared" si="249"/>
        <v>0</v>
      </c>
      <c r="CV221" s="79">
        <f t="shared" si="250"/>
        <v>0</v>
      </c>
      <c r="CW221" s="82" t="str">
        <f t="shared" si="235"/>
        <v>valid</v>
      </c>
      <c r="CX221" s="65" t="str">
        <f t="shared" si="236"/>
        <v>valid</v>
      </c>
      <c r="CY221" s="66" t="str">
        <f t="shared" si="251"/>
        <v>MGScrSp</v>
      </c>
      <c r="CZ221" s="81">
        <f t="shared" si="237"/>
        <v>39.665636999999997</v>
      </c>
      <c r="DA221" s="59">
        <f t="shared" si="238"/>
        <v>11.880189999999997</v>
      </c>
      <c r="DB221" s="59">
        <f t="shared" si="239"/>
        <v>5.5212674999999996</v>
      </c>
      <c r="DC221" s="59">
        <f t="shared" si="240"/>
        <v>11.682186833333331</v>
      </c>
      <c r="DD221" s="59">
        <f t="shared" si="241"/>
        <v>0.86762775000000003</v>
      </c>
      <c r="DE221" s="79">
        <f t="shared" si="242"/>
        <v>41.251059395999995</v>
      </c>
      <c r="DF221" s="83">
        <f t="shared" si="243"/>
        <v>52.215451583333326</v>
      </c>
    </row>
    <row r="222" spans="2:110" ht="16.5" customHeight="1" x14ac:dyDescent="0.25">
      <c r="B222" s="47"/>
      <c r="C222" s="168" t="s">
        <v>687</v>
      </c>
      <c r="D222" s="169" t="s">
        <v>688</v>
      </c>
      <c r="E222" s="170" t="s">
        <v>689</v>
      </c>
      <c r="F222" s="50">
        <f t="shared" si="244"/>
        <v>0.79450657030876726</v>
      </c>
      <c r="G222" s="50" t="str">
        <f t="shared" ca="1" si="245"/>
        <v>No</v>
      </c>
      <c r="H222" s="51" t="str">
        <f t="shared" si="246"/>
        <v>Main - Genoa - Spinnaker</v>
      </c>
      <c r="I222" s="171">
        <v>36141</v>
      </c>
      <c r="J222" s="171"/>
      <c r="K222" s="172" t="s">
        <v>299</v>
      </c>
      <c r="L222" s="172" t="s">
        <v>390</v>
      </c>
      <c r="M222" s="171"/>
      <c r="N222" s="87" t="s">
        <v>537</v>
      </c>
      <c r="O222" s="87"/>
      <c r="P222" s="174">
        <v>5.4</v>
      </c>
      <c r="Q222" s="175">
        <v>7.42</v>
      </c>
      <c r="R222" s="78"/>
      <c r="S222" s="59">
        <f t="shared" si="218"/>
        <v>0.1855</v>
      </c>
      <c r="T222" s="176">
        <v>0.14000000000000001</v>
      </c>
      <c r="U222" s="176">
        <v>0</v>
      </c>
      <c r="V222" s="61">
        <f t="shared" si="219"/>
        <v>7.28</v>
      </c>
      <c r="W222" s="62">
        <f>IF(RL&gt;0,IF(RL&gt;'Look Ups'!R$7,'Look Ups'!R$8,('Look Ups'!R$3*RL^3+'Look Ups'!R$4*RL^2+'Look Ups'!R$5*RL+'Look Ups'!R$6)),0)</f>
        <v>0.29099457561600001</v>
      </c>
      <c r="X222" s="177">
        <v>1046</v>
      </c>
      <c r="Y222" s="178"/>
      <c r="Z222" s="178"/>
      <c r="AA222" s="178"/>
      <c r="AB222" s="65">
        <f t="shared" si="220"/>
        <v>1046</v>
      </c>
      <c r="AC222" s="66">
        <f t="shared" si="221"/>
        <v>1046</v>
      </c>
      <c r="AD222" s="179" t="s">
        <v>129</v>
      </c>
      <c r="AE222" s="180" t="s">
        <v>130</v>
      </c>
      <c r="AF222" s="181" t="s">
        <v>131</v>
      </c>
      <c r="AG222" s="70">
        <f>IF(C222="",0,VLOOKUP(AD222,'Look Ups'!$B$3:$C$6,2,0)*VLOOKUP(AE222,'Look Ups'!$E$3:$F$5,2,0)*VLOOKUP(AF222,'Look Ups'!$H$3:$I$7,2,0))</f>
        <v>1</v>
      </c>
      <c r="AH222" s="80">
        <v>9.18</v>
      </c>
      <c r="AI222" s="77">
        <v>8.89</v>
      </c>
      <c r="AJ222" s="77">
        <v>3.34</v>
      </c>
      <c r="AK222" s="77">
        <v>0.74</v>
      </c>
      <c r="AL222" s="77">
        <v>0.78</v>
      </c>
      <c r="AM222" s="77">
        <v>8.59</v>
      </c>
      <c r="AN222" s="77">
        <v>0.05</v>
      </c>
      <c r="AO222" s="77">
        <v>3.49</v>
      </c>
      <c r="AP222" s="77">
        <v>0</v>
      </c>
      <c r="AQ222" s="77">
        <v>0.44</v>
      </c>
      <c r="AR222" s="77" t="s">
        <v>132</v>
      </c>
      <c r="AS222" s="87">
        <v>0</v>
      </c>
      <c r="AT222" s="59">
        <f t="shared" si="222"/>
        <v>8.59</v>
      </c>
      <c r="AU222" s="59">
        <f t="shared" si="223"/>
        <v>1.4173499999999999</v>
      </c>
      <c r="AV222" s="72">
        <f>IF(C222="",0,(0.5*(_ML1*LPM)+0.5*(_ML1*HB)+0.66*(P*PR)+0.66*(_ML2*RDM)+0.66*(E*ER))*VLOOKUP(BATT,'Look Ups'!$N$3:$O$4,2,0))</f>
        <v>23.587242000000003</v>
      </c>
      <c r="AW222" s="182"/>
      <c r="AX222" s="183"/>
      <c r="AY222" s="80">
        <v>8.14</v>
      </c>
      <c r="AZ222" s="77">
        <v>2.54</v>
      </c>
      <c r="BA222" s="77">
        <v>2.9</v>
      </c>
      <c r="BB222" s="77">
        <v>0.08</v>
      </c>
      <c r="BC222" s="77">
        <v>7.78</v>
      </c>
      <c r="BD222" s="77"/>
      <c r="BE222" s="77"/>
      <c r="BF222" s="77">
        <v>0.04</v>
      </c>
      <c r="BG222" s="77">
        <v>-0.09</v>
      </c>
      <c r="BH222" s="87"/>
      <c r="BI222" s="72">
        <f t="shared" si="224"/>
        <v>10.212796000000001</v>
      </c>
      <c r="BJ222" s="76"/>
      <c r="BK222" s="77"/>
      <c r="BL222" s="78"/>
      <c r="BM222" s="78"/>
      <c r="BN222" s="77"/>
      <c r="BO222" s="78"/>
      <c r="BP222" s="78"/>
      <c r="BQ222" s="79">
        <f t="shared" si="225"/>
        <v>0</v>
      </c>
      <c r="BR222" s="80"/>
      <c r="BS222" s="77"/>
      <c r="BT222" s="77"/>
      <c r="BU222" s="77"/>
      <c r="BV222" s="77"/>
      <c r="BW222" s="77"/>
      <c r="BX222" s="77"/>
      <c r="BY222" s="72">
        <f t="shared" si="226"/>
        <v>0</v>
      </c>
      <c r="BZ222" s="182">
        <v>6.25</v>
      </c>
      <c r="CA222" s="77">
        <v>10.1</v>
      </c>
      <c r="CB222" s="77">
        <v>8</v>
      </c>
      <c r="CC222" s="77">
        <v>5.65</v>
      </c>
      <c r="CD222" s="65">
        <f t="shared" si="227"/>
        <v>90.4</v>
      </c>
      <c r="CE222" s="77">
        <v>0</v>
      </c>
      <c r="CF222" s="79">
        <f t="shared" si="228"/>
        <v>43.515416666666674</v>
      </c>
      <c r="CG222" s="80"/>
      <c r="CH222" s="77"/>
      <c r="CI222" s="77"/>
      <c r="CJ222" s="77"/>
      <c r="CK222" s="59" t="str">
        <f t="shared" si="247"/>
        <v/>
      </c>
      <c r="CL222" s="77">
        <v>0</v>
      </c>
      <c r="CM222" s="72">
        <f t="shared" si="229"/>
        <v>0</v>
      </c>
      <c r="CN222" s="81">
        <f t="shared" si="230"/>
        <v>1</v>
      </c>
      <c r="CO222" s="59">
        <f t="shared" si="231"/>
        <v>25.004592000000002</v>
      </c>
      <c r="CP222" s="59">
        <f t="shared" si="232"/>
        <v>1</v>
      </c>
      <c r="CQ222" s="59">
        <f t="shared" si="233"/>
        <v>10.212796000000001</v>
      </c>
      <c r="CR222" s="59">
        <f>IF(AV222&gt;0,'Look Ups'!$L$3,0)</f>
        <v>1</v>
      </c>
      <c r="CS222" s="59">
        <f t="shared" si="234"/>
        <v>0</v>
      </c>
      <c r="CT222" s="59">
        <f t="shared" si="248"/>
        <v>0</v>
      </c>
      <c r="CU222" s="59">
        <f t="shared" si="249"/>
        <v>0</v>
      </c>
      <c r="CV222" s="79">
        <f t="shared" si="250"/>
        <v>0</v>
      </c>
      <c r="CW222" s="82" t="str">
        <f t="shared" si="235"/>
        <v>-</v>
      </c>
      <c r="CX222" s="65" t="str">
        <f t="shared" si="236"/>
        <v>valid</v>
      </c>
      <c r="CY222" s="66" t="str">
        <f t="shared" si="251"/>
        <v>MGSp</v>
      </c>
      <c r="CZ222" s="81">
        <f t="shared" si="237"/>
        <v>35.217388</v>
      </c>
      <c r="DA222" s="59">
        <f t="shared" si="238"/>
        <v>9.9907862000000005</v>
      </c>
      <c r="DB222" s="59">
        <f t="shared" si="239"/>
        <v>0</v>
      </c>
      <c r="DC222" s="59">
        <f t="shared" si="240"/>
        <v>9.8242730966666674</v>
      </c>
      <c r="DD222" s="59">
        <f t="shared" si="241"/>
        <v>0</v>
      </c>
      <c r="DE222" s="79">
        <f t="shared" si="242"/>
        <v>36.814901968000001</v>
      </c>
      <c r="DF222" s="83">
        <f t="shared" si="243"/>
        <v>45.208174200000002</v>
      </c>
    </row>
    <row r="223" spans="2:110" ht="16.5" customHeight="1" x14ac:dyDescent="0.25">
      <c r="B223" s="168"/>
      <c r="C223" s="47" t="s">
        <v>339</v>
      </c>
      <c r="D223" s="84" t="s">
        <v>340</v>
      </c>
      <c r="E223" s="49" t="s">
        <v>341</v>
      </c>
      <c r="F223" s="50">
        <f t="shared" si="244"/>
        <v>0.78564969730832801</v>
      </c>
      <c r="G223" s="50" t="str">
        <f t="shared" ca="1" si="245"/>
        <v>Yes</v>
      </c>
      <c r="H223" s="51" t="str">
        <f t="shared" si="246"/>
        <v>Main - Genoa - Screacher - Spinnaker</v>
      </c>
      <c r="I223" s="52">
        <v>41662</v>
      </c>
      <c r="J223" s="52">
        <v>41744</v>
      </c>
      <c r="K223" s="53" t="s">
        <v>342</v>
      </c>
      <c r="L223" s="53" t="s">
        <v>137</v>
      </c>
      <c r="M223" s="54"/>
      <c r="N223" s="75" t="s">
        <v>149</v>
      </c>
      <c r="O223" s="75" t="s">
        <v>138</v>
      </c>
      <c r="P223" s="85"/>
      <c r="Q223" s="57">
        <v>11.73</v>
      </c>
      <c r="R223" s="58"/>
      <c r="S223" s="59">
        <f t="shared" si="218"/>
        <v>0.29325000000000001</v>
      </c>
      <c r="T223" s="60">
        <v>0.16</v>
      </c>
      <c r="U223" s="60">
        <v>0</v>
      </c>
      <c r="V223" s="61">
        <f t="shared" si="219"/>
        <v>11.57</v>
      </c>
      <c r="W223" s="62">
        <f>IF(RL&gt;0,IF(RL&gt;'Look Ups'!R$7,'Look Ups'!R$8,('Look Ups'!R$3*RL^3+'Look Ups'!R$4*RL^2+'Look Ups'!R$5*RL+'Look Ups'!R$6)),0)</f>
        <v>0.29981509746900004</v>
      </c>
      <c r="X223" s="63">
        <v>5070</v>
      </c>
      <c r="Y223" s="64"/>
      <c r="Z223" s="64"/>
      <c r="AA223" s="64"/>
      <c r="AB223" s="65">
        <f t="shared" si="220"/>
        <v>5070</v>
      </c>
      <c r="AC223" s="66">
        <f t="shared" si="221"/>
        <v>5070</v>
      </c>
      <c r="AD223" s="67" t="s">
        <v>129</v>
      </c>
      <c r="AE223" s="68" t="s">
        <v>130</v>
      </c>
      <c r="AF223" s="69" t="s">
        <v>131</v>
      </c>
      <c r="AG223" s="70">
        <f>IF(C223="",0,VLOOKUP(AD223,'Look Ups'!$B$3:$C$6,2,0)*VLOOKUP(AE223,'Look Ups'!$E$3:$F$5,2,0)*VLOOKUP(AF223,'Look Ups'!$H$3:$I$7,2,0))</f>
        <v>1</v>
      </c>
      <c r="AH223" s="71">
        <v>15.11</v>
      </c>
      <c r="AI223" s="60">
        <v>14.82</v>
      </c>
      <c r="AJ223" s="60">
        <v>4.29</v>
      </c>
      <c r="AK223" s="60">
        <v>1.4</v>
      </c>
      <c r="AL223" s="60">
        <v>0.33</v>
      </c>
      <c r="AM223" s="60">
        <v>14.78</v>
      </c>
      <c r="AN223" s="60">
        <v>0.16</v>
      </c>
      <c r="AO223" s="60">
        <v>4.3979999999999997</v>
      </c>
      <c r="AP223" s="60">
        <v>0.04</v>
      </c>
      <c r="AQ223" s="60"/>
      <c r="AR223" s="60" t="s">
        <v>132</v>
      </c>
      <c r="AS223" s="75">
        <v>0</v>
      </c>
      <c r="AT223" s="59">
        <f t="shared" si="222"/>
        <v>14.819999999999999</v>
      </c>
      <c r="AU223" s="59">
        <f t="shared" si="223"/>
        <v>0</v>
      </c>
      <c r="AV223" s="72">
        <f>IF(C223="",0,(0.5*(_ML1*LPM)+0.5*(_ML1*HB)+0.66*(P*PR)+0.66*(_ML2*RDM)+0.66*(E*ER))*VLOOKUP(BATT,'Look Ups'!$N$3:$O$4,2,0))</f>
        <v>47.892621200000001</v>
      </c>
      <c r="AW223" s="73"/>
      <c r="AX223" s="74"/>
      <c r="AY223" s="71">
        <v>13.94</v>
      </c>
      <c r="AZ223" s="60">
        <v>4.62</v>
      </c>
      <c r="BA223" s="60">
        <v>5.3</v>
      </c>
      <c r="BB223" s="60">
        <v>0.08</v>
      </c>
      <c r="BC223" s="60">
        <v>12.14</v>
      </c>
      <c r="BD223" s="60">
        <v>12.14</v>
      </c>
      <c r="BE223" s="60"/>
      <c r="BF223" s="60">
        <v>-0.18</v>
      </c>
      <c r="BG223" s="60">
        <v>0.06</v>
      </c>
      <c r="BH223" s="75">
        <v>0</v>
      </c>
      <c r="BI223" s="72">
        <f t="shared" si="224"/>
        <v>31.591032000000002</v>
      </c>
      <c r="BJ223" s="76"/>
      <c r="BK223" s="77"/>
      <c r="BL223" s="78"/>
      <c r="BM223" s="78"/>
      <c r="BN223" s="77"/>
      <c r="BO223" s="78"/>
      <c r="BP223" s="78"/>
      <c r="BQ223" s="79">
        <f t="shared" si="225"/>
        <v>0</v>
      </c>
      <c r="BR223" s="80"/>
      <c r="BS223" s="77"/>
      <c r="BT223" s="77"/>
      <c r="BU223" s="77"/>
      <c r="BV223" s="77"/>
      <c r="BW223" s="77"/>
      <c r="BX223" s="77"/>
      <c r="BY223" s="72">
        <f t="shared" si="226"/>
        <v>0</v>
      </c>
      <c r="BZ223" s="73">
        <v>8.9</v>
      </c>
      <c r="CA223" s="60">
        <v>14.35</v>
      </c>
      <c r="CB223" s="60">
        <v>16.73</v>
      </c>
      <c r="CC223" s="60">
        <v>9.4600000000000009</v>
      </c>
      <c r="CD223" s="65">
        <f t="shared" si="227"/>
        <v>106.29213483146067</v>
      </c>
      <c r="CE223" s="75">
        <v>0</v>
      </c>
      <c r="CF223" s="79">
        <f t="shared" si="228"/>
        <v>121.0566</v>
      </c>
      <c r="CG223" s="71">
        <v>8.16</v>
      </c>
      <c r="CH223" s="60">
        <v>14.67</v>
      </c>
      <c r="CI223" s="60">
        <v>12.41</v>
      </c>
      <c r="CJ223" s="60">
        <v>4.117</v>
      </c>
      <c r="CK223" s="59">
        <f t="shared" si="247"/>
        <v>50.453431372549019</v>
      </c>
      <c r="CL223" s="75">
        <v>0</v>
      </c>
      <c r="CM223" s="72">
        <f t="shared" si="229"/>
        <v>55.577186666666663</v>
      </c>
      <c r="CN223" s="81">
        <f t="shared" si="230"/>
        <v>1</v>
      </c>
      <c r="CO223" s="59">
        <f t="shared" si="231"/>
        <v>47.892621200000001</v>
      </c>
      <c r="CP223" s="59">
        <f t="shared" si="232"/>
        <v>1</v>
      </c>
      <c r="CQ223" s="59">
        <f t="shared" si="233"/>
        <v>31.591032000000002</v>
      </c>
      <c r="CR223" s="59">
        <f>IF(AV223&gt;0,'Look Ups'!$L$3,0)</f>
        <v>1</v>
      </c>
      <c r="CS223" s="59">
        <f t="shared" si="234"/>
        <v>0</v>
      </c>
      <c r="CT223" s="59">
        <f t="shared" si="248"/>
        <v>0</v>
      </c>
      <c r="CU223" s="59">
        <f t="shared" si="249"/>
        <v>0</v>
      </c>
      <c r="CV223" s="79">
        <f t="shared" si="250"/>
        <v>0</v>
      </c>
      <c r="CW223" s="82" t="str">
        <f t="shared" si="235"/>
        <v>valid</v>
      </c>
      <c r="CX223" s="65" t="str">
        <f t="shared" si="236"/>
        <v>valid</v>
      </c>
      <c r="CY223" s="66" t="str">
        <f t="shared" si="251"/>
        <v>MGScrSp</v>
      </c>
      <c r="CZ223" s="81">
        <f t="shared" si="237"/>
        <v>79.483653200000006</v>
      </c>
      <c r="DA223" s="59">
        <f t="shared" si="238"/>
        <v>26.839670399999999</v>
      </c>
      <c r="DB223" s="59">
        <f t="shared" si="239"/>
        <v>8.3951541333333299</v>
      </c>
      <c r="DC223" s="59">
        <f t="shared" si="240"/>
        <v>26.392342559999999</v>
      </c>
      <c r="DD223" s="59">
        <f t="shared" si="241"/>
        <v>1.3192385066666663</v>
      </c>
      <c r="DE223" s="79">
        <f t="shared" si="242"/>
        <v>81.244224833600001</v>
      </c>
      <c r="DF223" s="83">
        <f t="shared" si="243"/>
        <v>107.19523426666667</v>
      </c>
    </row>
    <row r="224" spans="2:110" ht="16.5" customHeight="1" x14ac:dyDescent="0.25">
      <c r="B224" s="168"/>
      <c r="C224" s="47" t="s">
        <v>343</v>
      </c>
      <c r="D224" s="84" t="s">
        <v>344</v>
      </c>
      <c r="E224" s="49" t="s">
        <v>345</v>
      </c>
      <c r="F224" s="50">
        <f t="shared" si="244"/>
        <v>0.82283122405728737</v>
      </c>
      <c r="G224" s="50" t="str">
        <f t="shared" ca="1" si="245"/>
        <v>No</v>
      </c>
      <c r="H224" s="51" t="str">
        <f t="shared" si="246"/>
        <v>Main - Genoa - Screacher - Spinnaker</v>
      </c>
      <c r="I224" s="52">
        <v>40502</v>
      </c>
      <c r="J224" s="52">
        <v>40504</v>
      </c>
      <c r="K224" s="53" t="s">
        <v>179</v>
      </c>
      <c r="L224" s="53" t="s">
        <v>148</v>
      </c>
      <c r="M224" s="54"/>
      <c r="N224" s="75" t="s">
        <v>127</v>
      </c>
      <c r="O224" s="75" t="s">
        <v>128</v>
      </c>
      <c r="P224" s="85"/>
      <c r="Q224" s="57">
        <v>7.49</v>
      </c>
      <c r="R224" s="58"/>
      <c r="S224" s="59">
        <f t="shared" si="218"/>
        <v>0.18725000000000003</v>
      </c>
      <c r="T224" s="60">
        <v>0.23</v>
      </c>
      <c r="U224" s="60">
        <v>0</v>
      </c>
      <c r="V224" s="61">
        <f t="shared" si="219"/>
        <v>7.26</v>
      </c>
      <c r="W224" s="62">
        <f>IF(RL&gt;0,IF(RL&gt;'Look Ups'!R$7,'Look Ups'!R$8,('Look Ups'!R$3*RL^3+'Look Ups'!R$4*RL^2+'Look Ups'!R$5*RL+'Look Ups'!R$6)),0)</f>
        <v>0.290907046808</v>
      </c>
      <c r="X224" s="63">
        <v>980</v>
      </c>
      <c r="Y224" s="64"/>
      <c r="Z224" s="64"/>
      <c r="AA224" s="64"/>
      <c r="AB224" s="65">
        <f t="shared" si="220"/>
        <v>980</v>
      </c>
      <c r="AC224" s="66">
        <f t="shared" si="221"/>
        <v>980</v>
      </c>
      <c r="AD224" s="67" t="s">
        <v>129</v>
      </c>
      <c r="AE224" s="68" t="s">
        <v>130</v>
      </c>
      <c r="AF224" s="69" t="s">
        <v>131</v>
      </c>
      <c r="AG224" s="70">
        <f>IF(C224="",0,VLOOKUP(AD224,'Look Ups'!$B$3:$C$6,2,0)*VLOOKUP(AE224,'Look Ups'!$E$3:$F$5,2,0)*VLOOKUP(AF224,'Look Ups'!$H$3:$I$7,2,0))</f>
        <v>1</v>
      </c>
      <c r="AH224" s="71">
        <v>9.16</v>
      </c>
      <c r="AI224" s="60">
        <v>8.89</v>
      </c>
      <c r="AJ224" s="60">
        <v>3.26</v>
      </c>
      <c r="AK224" s="60">
        <v>0.73</v>
      </c>
      <c r="AL224" s="60">
        <v>0.72</v>
      </c>
      <c r="AM224" s="60">
        <v>8.67</v>
      </c>
      <c r="AN224" s="60">
        <v>7.0000000000000007E-2</v>
      </c>
      <c r="AO224" s="60">
        <v>3.46</v>
      </c>
      <c r="AP224" s="60">
        <v>0.05</v>
      </c>
      <c r="AQ224" s="60">
        <v>0.4</v>
      </c>
      <c r="AR224" s="60" t="s">
        <v>132</v>
      </c>
      <c r="AS224" s="75">
        <v>0</v>
      </c>
      <c r="AT224" s="59">
        <f t="shared" si="222"/>
        <v>8.7200000000000006</v>
      </c>
      <c r="AU224" s="59">
        <f t="shared" si="223"/>
        <v>1.3005</v>
      </c>
      <c r="AV224" s="72">
        <f>IF(C224="",0,(0.5*(_ML1*LPM)+0.5*(_ML1*HB)+0.66*(P*PR)+0.66*(_ML2*RDM)+0.66*(E*ER))*VLOOKUP(BATT,'Look Ups'!$N$3:$O$4,2,0))</f>
        <v>23.013462000000001</v>
      </c>
      <c r="AW224" s="73"/>
      <c r="AX224" s="74"/>
      <c r="AY224" s="71">
        <v>7.98</v>
      </c>
      <c r="AZ224" s="60">
        <v>2.48</v>
      </c>
      <c r="BA224" s="60">
        <v>2.78</v>
      </c>
      <c r="BB224" s="60">
        <v>0.06</v>
      </c>
      <c r="BC224" s="60">
        <v>7.1</v>
      </c>
      <c r="BD224" s="60"/>
      <c r="BE224" s="60"/>
      <c r="BF224" s="60">
        <v>0.08</v>
      </c>
      <c r="BG224" s="60">
        <v>-0.02</v>
      </c>
      <c r="BH224" s="75">
        <v>0</v>
      </c>
      <c r="BI224" s="72">
        <f t="shared" si="224"/>
        <v>10.274832</v>
      </c>
      <c r="BJ224" s="76"/>
      <c r="BK224" s="77"/>
      <c r="BL224" s="78"/>
      <c r="BM224" s="78"/>
      <c r="BN224" s="77"/>
      <c r="BO224" s="78"/>
      <c r="BP224" s="78"/>
      <c r="BQ224" s="79">
        <f t="shared" si="225"/>
        <v>0</v>
      </c>
      <c r="BR224" s="80"/>
      <c r="BS224" s="77"/>
      <c r="BT224" s="77"/>
      <c r="BU224" s="77"/>
      <c r="BV224" s="77"/>
      <c r="BW224" s="77"/>
      <c r="BX224" s="77"/>
      <c r="BY224" s="72">
        <f t="shared" si="226"/>
        <v>0</v>
      </c>
      <c r="BZ224" s="73">
        <v>7.21</v>
      </c>
      <c r="CA224" s="60">
        <v>10.3</v>
      </c>
      <c r="CB224" s="60">
        <v>9.52</v>
      </c>
      <c r="CC224" s="60">
        <v>5.67</v>
      </c>
      <c r="CD224" s="65">
        <f t="shared" si="227"/>
        <v>78.640776699029118</v>
      </c>
      <c r="CE224" s="75">
        <v>0</v>
      </c>
      <c r="CF224" s="79">
        <f t="shared" si="228"/>
        <v>49.368316666666665</v>
      </c>
      <c r="CG224" s="71">
        <v>5.8</v>
      </c>
      <c r="CH224" s="60">
        <v>9.23</v>
      </c>
      <c r="CI224" s="60">
        <v>7.68</v>
      </c>
      <c r="CJ224" s="60">
        <v>2.9319999999999999</v>
      </c>
      <c r="CK224" s="59">
        <f t="shared" si="247"/>
        <v>50.551724137931032</v>
      </c>
      <c r="CL224" s="75">
        <v>0</v>
      </c>
      <c r="CM224" s="72">
        <f t="shared" si="229"/>
        <v>24.699873333333333</v>
      </c>
      <c r="CN224" s="81">
        <f t="shared" si="230"/>
        <v>1</v>
      </c>
      <c r="CO224" s="59">
        <f t="shared" si="231"/>
        <v>24.313962</v>
      </c>
      <c r="CP224" s="59">
        <f t="shared" si="232"/>
        <v>1</v>
      </c>
      <c r="CQ224" s="59">
        <f t="shared" si="233"/>
        <v>10.274832</v>
      </c>
      <c r="CR224" s="59">
        <f>IF(AV224&gt;0,'Look Ups'!$L$3,0)</f>
        <v>1</v>
      </c>
      <c r="CS224" s="59">
        <f t="shared" si="234"/>
        <v>0</v>
      </c>
      <c r="CT224" s="59">
        <f t="shared" si="248"/>
        <v>0</v>
      </c>
      <c r="CU224" s="59">
        <f t="shared" si="249"/>
        <v>0</v>
      </c>
      <c r="CV224" s="79">
        <f t="shared" si="250"/>
        <v>0</v>
      </c>
      <c r="CW224" s="82" t="str">
        <f t="shared" si="235"/>
        <v>valid</v>
      </c>
      <c r="CX224" s="65" t="str">
        <f t="shared" si="236"/>
        <v>valid</v>
      </c>
      <c r="CY224" s="66" t="str">
        <f t="shared" si="251"/>
        <v>MGScrSp</v>
      </c>
      <c r="CZ224" s="81">
        <f t="shared" si="237"/>
        <v>34.588794</v>
      </c>
      <c r="DA224" s="59">
        <f t="shared" si="238"/>
        <v>11.728045400000001</v>
      </c>
      <c r="DB224" s="59">
        <f t="shared" si="239"/>
        <v>5.0487644666666665</v>
      </c>
      <c r="DC224" s="59">
        <f t="shared" si="240"/>
        <v>11.532577976666667</v>
      </c>
      <c r="DD224" s="59">
        <f t="shared" si="241"/>
        <v>0.7933772733333333</v>
      </c>
      <c r="DE224" s="79">
        <f t="shared" si="242"/>
        <v>36.105020039999999</v>
      </c>
      <c r="DF224" s="83">
        <f t="shared" si="243"/>
        <v>46.91474925</v>
      </c>
    </row>
    <row r="225" spans="2:110" ht="16.5" customHeight="1" x14ac:dyDescent="0.25">
      <c r="B225" s="47"/>
      <c r="C225" s="168" t="s">
        <v>690</v>
      </c>
      <c r="D225" s="169" t="s">
        <v>691</v>
      </c>
      <c r="E225" s="170" t="s">
        <v>692</v>
      </c>
      <c r="F225" s="50">
        <f t="shared" si="244"/>
        <v>0.74510499600442359</v>
      </c>
      <c r="G225" s="50" t="str">
        <f t="shared" ca="1" si="245"/>
        <v>No</v>
      </c>
      <c r="H225" s="51" t="str">
        <f t="shared" si="246"/>
        <v>Main - Genoa - Spinnaker</v>
      </c>
      <c r="I225" s="171">
        <v>38045</v>
      </c>
      <c r="J225" s="171"/>
      <c r="K225" s="172" t="s">
        <v>224</v>
      </c>
      <c r="L225" s="172" t="s">
        <v>387</v>
      </c>
      <c r="M225" s="171"/>
      <c r="N225" s="173" t="s">
        <v>149</v>
      </c>
      <c r="O225" s="173"/>
      <c r="P225" s="174">
        <v>7</v>
      </c>
      <c r="Q225" s="175">
        <v>12.18</v>
      </c>
      <c r="R225" s="78"/>
      <c r="S225" s="59">
        <f t="shared" si="218"/>
        <v>0.30449999999999999</v>
      </c>
      <c r="T225" s="176">
        <v>0.13</v>
      </c>
      <c r="U225" s="176">
        <v>0</v>
      </c>
      <c r="V225" s="61">
        <f t="shared" si="219"/>
        <v>12.049999999999999</v>
      </c>
      <c r="W225" s="62">
        <f>IF(RL&gt;0,IF(RL&gt;'Look Ups'!R$7,'Look Ups'!R$8,('Look Ups'!R$3*RL^3+'Look Ups'!R$4*RL^2+'Look Ups'!R$5*RL+'Look Ups'!R$6)),0)</f>
        <v>0.3</v>
      </c>
      <c r="X225" s="177">
        <v>4975</v>
      </c>
      <c r="Y225" s="178"/>
      <c r="Z225" s="178"/>
      <c r="AA225" s="178"/>
      <c r="AB225" s="65">
        <f t="shared" si="220"/>
        <v>4975</v>
      </c>
      <c r="AC225" s="66">
        <f t="shared" si="221"/>
        <v>4975</v>
      </c>
      <c r="AD225" s="179" t="s">
        <v>129</v>
      </c>
      <c r="AE225" s="180" t="s">
        <v>130</v>
      </c>
      <c r="AF225" s="181" t="s">
        <v>161</v>
      </c>
      <c r="AG225" s="70">
        <f>IF(C225="",0,VLOOKUP(AD225,'Look Ups'!$B$3:$C$6,2,0)*VLOOKUP(AE225,'Look Ups'!$E$3:$F$5,2,0)*VLOOKUP(AF225,'Look Ups'!$H$3:$I$7,2,0))</f>
        <v>0.99</v>
      </c>
      <c r="AH225" s="80">
        <v>12.11</v>
      </c>
      <c r="AI225" s="77">
        <v>12.06</v>
      </c>
      <c r="AJ225" s="77">
        <v>3.66</v>
      </c>
      <c r="AK225" s="77">
        <v>0.17</v>
      </c>
      <c r="AL225" s="77">
        <v>0.43</v>
      </c>
      <c r="AM225" s="77">
        <v>11.54</v>
      </c>
      <c r="AN225" s="77">
        <v>0</v>
      </c>
      <c r="AO225" s="77">
        <v>3.83</v>
      </c>
      <c r="AP225" s="77">
        <v>0.03</v>
      </c>
      <c r="AQ225" s="77"/>
      <c r="AR225" s="77" t="s">
        <v>132</v>
      </c>
      <c r="AS225" s="87">
        <v>0</v>
      </c>
      <c r="AT225" s="59">
        <f t="shared" si="222"/>
        <v>11.569999999999999</v>
      </c>
      <c r="AU225" s="59">
        <f t="shared" si="223"/>
        <v>0</v>
      </c>
      <c r="AV225" s="72">
        <f>IF(C225="",0,(0.5*(_ML1*LPM)+0.5*(_ML1*HB)+0.66*(P*PR)+0.66*(_ML2*RDM)+0.66*(E*ER))*VLOOKUP(BATT,'Look Ups'!$N$3:$O$4,2,0))</f>
        <v>26.689112000000002</v>
      </c>
      <c r="AW225" s="182"/>
      <c r="AX225" s="183"/>
      <c r="AY225" s="80">
        <v>14.26</v>
      </c>
      <c r="AZ225" s="77">
        <v>5.93</v>
      </c>
      <c r="BA225" s="77">
        <v>6.68</v>
      </c>
      <c r="BB225" s="77">
        <v>0.18</v>
      </c>
      <c r="BC225" s="77">
        <v>12.48</v>
      </c>
      <c r="BD225" s="77"/>
      <c r="BE225" s="77"/>
      <c r="BF225" s="77">
        <v>-0.42</v>
      </c>
      <c r="BG225" s="77">
        <v>0</v>
      </c>
      <c r="BH225" s="87"/>
      <c r="BI225" s="72">
        <f t="shared" si="224"/>
        <v>39.615027999999995</v>
      </c>
      <c r="BJ225" s="76"/>
      <c r="BK225" s="77"/>
      <c r="BL225" s="78"/>
      <c r="BM225" s="78"/>
      <c r="BN225" s="77"/>
      <c r="BO225" s="78"/>
      <c r="BP225" s="78"/>
      <c r="BQ225" s="79">
        <f t="shared" si="225"/>
        <v>0</v>
      </c>
      <c r="BR225" s="80"/>
      <c r="BS225" s="77"/>
      <c r="BT225" s="77"/>
      <c r="BU225" s="77"/>
      <c r="BV225" s="77"/>
      <c r="BW225" s="77"/>
      <c r="BX225" s="77"/>
      <c r="BY225" s="72">
        <f t="shared" si="226"/>
        <v>0</v>
      </c>
      <c r="BZ225" s="182">
        <v>11.79</v>
      </c>
      <c r="CA225" s="77">
        <v>15.86</v>
      </c>
      <c r="CB225" s="77">
        <v>15.8</v>
      </c>
      <c r="CC225" s="77">
        <v>8.8800000000000008</v>
      </c>
      <c r="CD225" s="65">
        <f t="shared" si="227"/>
        <v>75.318066157760825</v>
      </c>
      <c r="CE225" s="77">
        <v>0</v>
      </c>
      <c r="CF225" s="79">
        <f t="shared" si="228"/>
        <v>124.81955000000001</v>
      </c>
      <c r="CG225" s="80"/>
      <c r="CH225" s="77"/>
      <c r="CI225" s="77"/>
      <c r="CJ225" s="77"/>
      <c r="CK225" s="59" t="str">
        <f t="shared" si="247"/>
        <v/>
      </c>
      <c r="CL225" s="77">
        <v>0</v>
      </c>
      <c r="CM225" s="72">
        <f t="shared" si="229"/>
        <v>0</v>
      </c>
      <c r="CN225" s="81">
        <f t="shared" si="230"/>
        <v>1</v>
      </c>
      <c r="CO225" s="59">
        <f t="shared" si="231"/>
        <v>26.689112000000002</v>
      </c>
      <c r="CP225" s="59">
        <f t="shared" si="232"/>
        <v>1</v>
      </c>
      <c r="CQ225" s="59">
        <f t="shared" si="233"/>
        <v>39.615027999999995</v>
      </c>
      <c r="CR225" s="59">
        <f>IF(AV225&gt;0,'Look Ups'!$L$3,0)</f>
        <v>1</v>
      </c>
      <c r="CS225" s="59">
        <f t="shared" si="234"/>
        <v>0</v>
      </c>
      <c r="CT225" s="59">
        <f t="shared" si="248"/>
        <v>0</v>
      </c>
      <c r="CU225" s="59">
        <f t="shared" si="249"/>
        <v>0</v>
      </c>
      <c r="CV225" s="79">
        <f t="shared" si="250"/>
        <v>0</v>
      </c>
      <c r="CW225" s="82" t="str">
        <f t="shared" si="235"/>
        <v>-</v>
      </c>
      <c r="CX225" s="65" t="str">
        <f t="shared" si="236"/>
        <v>valid</v>
      </c>
      <c r="CY225" s="66" t="str">
        <f t="shared" si="251"/>
        <v>MGSp</v>
      </c>
      <c r="CZ225" s="81">
        <f t="shared" si="237"/>
        <v>66.30413999999999</v>
      </c>
      <c r="DA225" s="59">
        <f t="shared" si="238"/>
        <v>25.561356600000003</v>
      </c>
      <c r="DB225" s="59">
        <f t="shared" si="239"/>
        <v>0</v>
      </c>
      <c r="DC225" s="59">
        <f t="shared" si="240"/>
        <v>25.135333990000003</v>
      </c>
      <c r="DD225" s="59">
        <f t="shared" si="241"/>
        <v>0</v>
      </c>
      <c r="DE225" s="79">
        <f t="shared" si="242"/>
        <v>64.908141071999992</v>
      </c>
      <c r="DF225" s="83">
        <f t="shared" si="243"/>
        <v>91.8654966</v>
      </c>
    </row>
    <row r="226" spans="2:110" ht="16.5" customHeight="1" x14ac:dyDescent="0.25">
      <c r="B226" s="168"/>
      <c r="C226" s="47" t="s">
        <v>346</v>
      </c>
      <c r="D226" s="48" t="s">
        <v>347</v>
      </c>
      <c r="E226" s="49" t="s">
        <v>923</v>
      </c>
      <c r="F226" s="50">
        <f t="shared" si="244"/>
        <v>0.78411608384630715</v>
      </c>
      <c r="G226" s="50" t="str">
        <f t="shared" ca="1" si="245"/>
        <v>No</v>
      </c>
      <c r="H226" s="51" t="str">
        <f t="shared" si="246"/>
        <v>Main - Genoa - Spinnaker</v>
      </c>
      <c r="I226" s="52">
        <v>40082</v>
      </c>
      <c r="J226" s="52">
        <v>40085</v>
      </c>
      <c r="K226" s="53" t="s">
        <v>349</v>
      </c>
      <c r="L226" s="53" t="s">
        <v>143</v>
      </c>
      <c r="M226" s="54"/>
      <c r="N226" s="75" t="s">
        <v>127</v>
      </c>
      <c r="O226" s="75" t="s">
        <v>128</v>
      </c>
      <c r="P226" s="86"/>
      <c r="Q226" s="57">
        <v>7.84</v>
      </c>
      <c r="R226" s="58"/>
      <c r="S226" s="59">
        <f t="shared" si="218"/>
        <v>0.19600000000000001</v>
      </c>
      <c r="T226" s="60">
        <v>0.04</v>
      </c>
      <c r="U226" s="60">
        <v>0.28000000000000003</v>
      </c>
      <c r="V226" s="61">
        <f t="shared" si="219"/>
        <v>7.52</v>
      </c>
      <c r="W226" s="62">
        <f>IF(RL&gt;0,IF(RL&gt;'Look Ups'!R$7,'Look Ups'!R$8,('Look Ups'!R$3*RL^3+'Look Ups'!R$4*RL^2+'Look Ups'!R$5*RL+'Look Ups'!R$6)),0)</f>
        <v>0.29200298726400004</v>
      </c>
      <c r="X226" s="63">
        <v>1340</v>
      </c>
      <c r="Y226" s="64"/>
      <c r="Z226" s="64"/>
      <c r="AA226" s="64"/>
      <c r="AB226" s="65">
        <f t="shared" si="220"/>
        <v>1340</v>
      </c>
      <c r="AC226" s="66">
        <f t="shared" si="221"/>
        <v>1340</v>
      </c>
      <c r="AD226" s="67" t="s">
        <v>129</v>
      </c>
      <c r="AE226" s="68" t="s">
        <v>130</v>
      </c>
      <c r="AF226" s="69" t="s">
        <v>131</v>
      </c>
      <c r="AG226" s="70">
        <f>IF(C226="",0,VLOOKUP(AD226,'Look Ups'!$B$3:$C$6,2,0)*VLOOKUP(AE226,'Look Ups'!$E$3:$F$5,2,0)*VLOOKUP(AF226,'Look Ups'!$H$3:$I$7,2,0))</f>
        <v>1</v>
      </c>
      <c r="AH226" s="71">
        <v>10.119999999999999</v>
      </c>
      <c r="AI226" s="60">
        <v>9.8000000000000007</v>
      </c>
      <c r="AJ226" s="60">
        <v>3.52</v>
      </c>
      <c r="AK226" s="60">
        <v>1.1299999999999999</v>
      </c>
      <c r="AL226" s="60">
        <v>0.57000000000000006</v>
      </c>
      <c r="AM226" s="60">
        <v>9.66</v>
      </c>
      <c r="AN226" s="60">
        <v>0.13</v>
      </c>
      <c r="AO226" s="60">
        <v>3.6</v>
      </c>
      <c r="AP226" s="60">
        <v>0.03</v>
      </c>
      <c r="AQ226" s="60">
        <v>0.40300000000000002</v>
      </c>
      <c r="AR226" s="60" t="s">
        <v>132</v>
      </c>
      <c r="AS226" s="75"/>
      <c r="AT226" s="59">
        <f t="shared" si="222"/>
        <v>9.69</v>
      </c>
      <c r="AU226" s="59">
        <f t="shared" si="223"/>
        <v>1.4598675000000001</v>
      </c>
      <c r="AV226" s="72">
        <f>IF(C226="",0,(0.5*(_ML1*LPM)+0.5*(_ML1*HB)+0.66*(P*PR)+0.66*(_ML2*RDM)+0.66*(E*ER))*VLOOKUP(BATT,'Look Ups'!$N$3:$O$4,2,0))</f>
        <v>28.115867999999999</v>
      </c>
      <c r="AW226" s="73"/>
      <c r="AX226" s="74"/>
      <c r="AY226" s="71">
        <v>8.6300000000000008</v>
      </c>
      <c r="AZ226" s="60">
        <v>2.66</v>
      </c>
      <c r="BA226" s="60">
        <v>2.96</v>
      </c>
      <c r="BB226" s="60">
        <v>0.06</v>
      </c>
      <c r="BC226" s="60">
        <v>8</v>
      </c>
      <c r="BD226" s="60"/>
      <c r="BE226" s="60"/>
      <c r="BF226" s="60">
        <v>-0.18</v>
      </c>
      <c r="BG226" s="60">
        <v>0.06</v>
      </c>
      <c r="BH226" s="75"/>
      <c r="BI226" s="72">
        <f t="shared" si="224"/>
        <v>10.986464000000003</v>
      </c>
      <c r="BJ226" s="76"/>
      <c r="BK226" s="77"/>
      <c r="BL226" s="78"/>
      <c r="BM226" s="78"/>
      <c r="BN226" s="77"/>
      <c r="BO226" s="78"/>
      <c r="BP226" s="78"/>
      <c r="BQ226" s="79">
        <f t="shared" si="225"/>
        <v>0</v>
      </c>
      <c r="BR226" s="80"/>
      <c r="BS226" s="77"/>
      <c r="BT226" s="77"/>
      <c r="BU226" s="77"/>
      <c r="BV226" s="77"/>
      <c r="BW226" s="77"/>
      <c r="BX226" s="77"/>
      <c r="BY226" s="72">
        <f t="shared" si="226"/>
        <v>0</v>
      </c>
      <c r="BZ226" s="73">
        <v>6.56</v>
      </c>
      <c r="CA226" s="60">
        <v>10.4</v>
      </c>
      <c r="CB226" s="60">
        <v>9.25</v>
      </c>
      <c r="CC226" s="60">
        <v>5.85</v>
      </c>
      <c r="CD226" s="65">
        <f t="shared" si="227"/>
        <v>89.176829268292678</v>
      </c>
      <c r="CE226" s="60"/>
      <c r="CF226" s="79">
        <f t="shared" si="228"/>
        <v>49.0595</v>
      </c>
      <c r="CG226" s="71"/>
      <c r="CH226" s="60"/>
      <c r="CI226" s="60"/>
      <c r="CJ226" s="60"/>
      <c r="CK226" s="59" t="str">
        <f t="shared" si="247"/>
        <v/>
      </c>
      <c r="CL226" s="60"/>
      <c r="CM226" s="72">
        <f t="shared" si="229"/>
        <v>0</v>
      </c>
      <c r="CN226" s="81">
        <f t="shared" si="230"/>
        <v>1</v>
      </c>
      <c r="CO226" s="59">
        <f t="shared" si="231"/>
        <v>29.5757355</v>
      </c>
      <c r="CP226" s="59">
        <f t="shared" si="232"/>
        <v>1</v>
      </c>
      <c r="CQ226" s="59">
        <f t="shared" si="233"/>
        <v>10.986464000000003</v>
      </c>
      <c r="CR226" s="59">
        <f>IF(AV226&gt;0,'Look Ups'!$L$3,0)</f>
        <v>1</v>
      </c>
      <c r="CS226" s="59">
        <f t="shared" si="234"/>
        <v>0</v>
      </c>
      <c r="CT226" s="59">
        <f t="shared" si="248"/>
        <v>0</v>
      </c>
      <c r="CU226" s="59">
        <f t="shared" si="249"/>
        <v>0</v>
      </c>
      <c r="CV226" s="79">
        <f t="shared" si="250"/>
        <v>0</v>
      </c>
      <c r="CW226" s="82" t="str">
        <f t="shared" si="235"/>
        <v>-</v>
      </c>
      <c r="CX226" s="65" t="str">
        <f t="shared" si="236"/>
        <v>valid</v>
      </c>
      <c r="CY226" s="66" t="str">
        <f t="shared" si="251"/>
        <v>MGSp</v>
      </c>
      <c r="CZ226" s="81">
        <f t="shared" si="237"/>
        <v>40.562199500000006</v>
      </c>
      <c r="DA226" s="59">
        <f t="shared" si="238"/>
        <v>11.421910799999997</v>
      </c>
      <c r="DB226" s="59">
        <f t="shared" si="239"/>
        <v>0</v>
      </c>
      <c r="DC226" s="59">
        <f t="shared" si="240"/>
        <v>11.231545619999999</v>
      </c>
      <c r="DD226" s="59">
        <f t="shared" si="241"/>
        <v>0</v>
      </c>
      <c r="DE226" s="79">
        <f t="shared" si="242"/>
        <v>42.569840822000003</v>
      </c>
      <c r="DF226" s="83">
        <f t="shared" si="243"/>
        <v>51.984110300000005</v>
      </c>
    </row>
    <row r="227" spans="2:110" ht="16.5" customHeight="1" x14ac:dyDescent="0.25">
      <c r="B227" s="47"/>
      <c r="C227" s="47" t="s">
        <v>350</v>
      </c>
      <c r="D227" s="48" t="s">
        <v>351</v>
      </c>
      <c r="E227" s="49" t="s">
        <v>352</v>
      </c>
      <c r="F227" s="50">
        <f t="shared" si="244"/>
        <v>0.87183125897229841</v>
      </c>
      <c r="G227" s="50" t="str">
        <f t="shared" ca="1" si="245"/>
        <v>Yes</v>
      </c>
      <c r="H227" s="51" t="str">
        <f t="shared" si="246"/>
        <v>Main - Genoa - Spinnaker</v>
      </c>
      <c r="I227" s="52">
        <v>42201</v>
      </c>
      <c r="J227" s="52">
        <v>42201</v>
      </c>
      <c r="K227" s="53" t="s">
        <v>353</v>
      </c>
      <c r="L227" s="53" t="s">
        <v>137</v>
      </c>
      <c r="M227" s="54"/>
      <c r="N227" s="55" t="s">
        <v>127</v>
      </c>
      <c r="O227" s="55"/>
      <c r="P227" s="56"/>
      <c r="Q227" s="57">
        <v>13.37</v>
      </c>
      <c r="R227" s="58"/>
      <c r="S227" s="59">
        <f t="shared" ref="S227:S258" si="252">IF((LOAA&gt;LOA),0.025*LOAA,0.025*LOA)</f>
        <v>0.33424999999999999</v>
      </c>
      <c r="T227" s="60">
        <v>0.33</v>
      </c>
      <c r="U227" s="60">
        <v>0</v>
      </c>
      <c r="V227" s="61">
        <f t="shared" ref="V227:V258" si="253">IF((LOAA&gt;LOA),LOAA,LOA-FOC-AOC)</f>
        <v>13.04</v>
      </c>
      <c r="W227" s="62">
        <f>IF(RL&gt;0,IF(RL&gt;'Look Ups'!R$7,'Look Ups'!R$8,('Look Ups'!R$3*RL^3+'Look Ups'!R$4*RL^2+'Look Ups'!R$5*RL+'Look Ups'!R$6)),0)</f>
        <v>0.3</v>
      </c>
      <c r="X227" s="63">
        <v>6330</v>
      </c>
      <c r="Y227" s="64"/>
      <c r="Z227" s="64"/>
      <c r="AA227" s="64"/>
      <c r="AB227" s="65">
        <f t="shared" ref="AB227:AB258" si="254">WM+WE</f>
        <v>6330</v>
      </c>
      <c r="AC227" s="66">
        <f t="shared" ref="AC227:AC258" si="255">WS+WCD+4*NC</f>
        <v>6330</v>
      </c>
      <c r="AD227" s="67" t="s">
        <v>129</v>
      </c>
      <c r="AE227" s="68" t="s">
        <v>130</v>
      </c>
      <c r="AF227" s="69" t="s">
        <v>131</v>
      </c>
      <c r="AG227" s="70">
        <f>IF(C227="",0,VLOOKUP(AD227,'Look Ups'!$B$3:$C$6,2,0)*VLOOKUP(AE227,'Look Ups'!$E$3:$F$5,2,0)*VLOOKUP(AF227,'Look Ups'!$H$3:$I$7,2,0))</f>
        <v>1</v>
      </c>
      <c r="AH227" s="71">
        <v>18.36</v>
      </c>
      <c r="AI227" s="60">
        <v>16.27</v>
      </c>
      <c r="AJ227" s="60">
        <v>6.15</v>
      </c>
      <c r="AK227" s="60">
        <v>1.43</v>
      </c>
      <c r="AL227" s="60">
        <v>0.64</v>
      </c>
      <c r="AM227" s="60">
        <v>17.75</v>
      </c>
      <c r="AN227" s="60">
        <v>0.26</v>
      </c>
      <c r="AO227" s="60">
        <v>6.42</v>
      </c>
      <c r="AP227" s="60">
        <v>0.08</v>
      </c>
      <c r="AQ227" s="60"/>
      <c r="AR227" s="60" t="s">
        <v>132</v>
      </c>
      <c r="AS227" s="75"/>
      <c r="AT227" s="59">
        <f t="shared" ref="AT227:AT258" si="256">P+ER</f>
        <v>17.829999999999998</v>
      </c>
      <c r="AU227" s="59">
        <f t="shared" ref="AU227:AU258" si="257">P*0.375*MC</f>
        <v>0</v>
      </c>
      <c r="AV227" s="72">
        <f>IF(C227="",0,(0.5*(_ML1*LPM)+0.5*(_ML1*HB)+0.66*(P*PR)+0.66*(_ML2*RDM)+0.66*(E*ER))*VLOOKUP(BATT,'Look Ups'!$N$3:$O$4,2,0))</f>
        <v>79.841724000000013</v>
      </c>
      <c r="AW227" s="73"/>
      <c r="AX227" s="74"/>
      <c r="AY227" s="71">
        <v>16.46</v>
      </c>
      <c r="AZ227" s="60">
        <v>5.98</v>
      </c>
      <c r="BA227" s="60">
        <v>6.43</v>
      </c>
      <c r="BB227" s="60">
        <v>0.1</v>
      </c>
      <c r="BC227" s="60">
        <v>15.3</v>
      </c>
      <c r="BD227" s="60"/>
      <c r="BE227" s="60"/>
      <c r="BF227" s="60">
        <v>-0.36</v>
      </c>
      <c r="BG227" s="60">
        <v>0.05</v>
      </c>
      <c r="BH227" s="75"/>
      <c r="BI227" s="72">
        <f t="shared" ref="BI227:BI258" si="258">(0.5*LL*LPG)+(0.5*_LG1*HG)+(0.66*LL*LLRG)+(0.66*FG*FRG)+(IF((HG&gt;0),(0.66*_LG2*LRG),(0.66*_LG1*LRG)))</f>
        <v>46.547680000000007</v>
      </c>
      <c r="BJ227" s="76"/>
      <c r="BK227" s="77"/>
      <c r="BL227" s="78"/>
      <c r="BM227" s="78"/>
      <c r="BN227" s="77"/>
      <c r="BO227" s="78"/>
      <c r="BP227" s="78"/>
      <c r="BQ227" s="79">
        <f t="shared" ref="BQ227:BQ258" si="259">(0.5*LLS*LPS)+(0.66*LLS*LLRS)+(0.66*LS*LRS)+(0.66*FS*FRS)</f>
        <v>0</v>
      </c>
      <c r="BR227" s="80"/>
      <c r="BS227" s="77"/>
      <c r="BT227" s="77"/>
      <c r="BU227" s="77"/>
      <c r="BV227" s="77"/>
      <c r="BW227" s="77"/>
      <c r="BX227" s="77"/>
      <c r="BY227" s="72">
        <f t="shared" ref="BY227:BY258" si="260">(0.5*LLD*LPD)+(0.66*LLD*LLRD)+(0.66*LCHD*LRD)+(0.66*FD*FRD)</f>
        <v>0</v>
      </c>
      <c r="BZ227" s="73">
        <v>10.95</v>
      </c>
      <c r="CA227" s="60">
        <v>17.829999999999998</v>
      </c>
      <c r="CB227" s="60">
        <v>15.95</v>
      </c>
      <c r="CC227" s="60">
        <v>9</v>
      </c>
      <c r="CD227" s="65">
        <f t="shared" ref="CD227:CD258" si="261">IF(SF&gt;0,SMG/SF*100,"")</f>
        <v>82.191780821917817</v>
      </c>
      <c r="CE227" s="60"/>
      <c r="CF227" s="79">
        <f t="shared" ref="CF227:CF258" si="262">SF*(_SL1+_SL2)/4+(SMG-SF/2)*(_SL1+_SL2)/3</f>
        <v>132.16424999999998</v>
      </c>
      <c r="CG227" s="71"/>
      <c r="CH227" s="60"/>
      <c r="CI227" s="60"/>
      <c r="CJ227" s="60"/>
      <c r="CK227" s="59" t="str">
        <f t="shared" si="247"/>
        <v/>
      </c>
      <c r="CL227" s="60"/>
      <c r="CM227" s="72">
        <f t="shared" ref="CM227:CM258" si="263">SCRF*(ScrL1+ScrL2)/4+(ScrMG-SCRF/2)*(ScrL1+ScrL2)/3</f>
        <v>0</v>
      </c>
      <c r="CN227" s="81">
        <f t="shared" ref="CN227:CN258" si="264">IF(ZVAL=1,1,IF(LPM&gt;0,0.64*((AM+MAM)/(E+(MC/2))^2)^0.3,0))</f>
        <v>1</v>
      </c>
      <c r="CO227" s="59">
        <f t="shared" ref="CO227:CO258" si="265">0.65*((AM+MAM)*EFM)+0.35*((AM+MAM)*ZVAL)</f>
        <v>79.841724000000013</v>
      </c>
      <c r="CP227" s="59">
        <f t="shared" ref="CP227:CP258" si="266">IF(ZVAL=1,1,IF(LPG&gt;0,0.72*(AG/(LPG^2))^0.3,0))</f>
        <v>1</v>
      </c>
      <c r="CQ227" s="59">
        <f t="shared" ref="CQ227:CQ258" si="267">AG*EFG</f>
        <v>46.547680000000007</v>
      </c>
      <c r="CR227" s="59">
        <f>IF(AV227&gt;0,'Look Ups'!$L$3,0)</f>
        <v>1</v>
      </c>
      <c r="CS227" s="59">
        <f t="shared" ref="CS227:CS258" si="268">IF(LPS&gt;0,0.72*(AS/(LPS^2))^0.3,0)</f>
        <v>0</v>
      </c>
      <c r="CT227" s="59">
        <f t="shared" si="248"/>
        <v>0</v>
      </c>
      <c r="CU227" s="59">
        <f t="shared" si="249"/>
        <v>0</v>
      </c>
      <c r="CV227" s="79">
        <f t="shared" si="250"/>
        <v>0</v>
      </c>
      <c r="CW227" s="82" t="str">
        <f t="shared" ref="CW227:CW258" si="269">IF((SCRF=0),"-",IF(AND(MSASC&gt;AG,ScrMG&gt;=(0.5*SCRF),ScrMG&lt;(0.75*SCRF)),"valid","ERROR"))</f>
        <v>-</v>
      </c>
      <c r="CX227" s="65" t="str">
        <f t="shared" ref="CX227:CX258" si="270">IF((SF=0),"-",IF((SMG&lt;(0.75*SF)),"ERROR",IF(AND(MSASP&gt;MSASC,MSASP&gt;AG,MSASP&gt;=0.36*RSAM),"valid",0)))</f>
        <v>valid</v>
      </c>
      <c r="CY227" s="66" t="str">
        <f t="shared" si="251"/>
        <v>MGSp</v>
      </c>
      <c r="CZ227" s="81">
        <f t="shared" ref="CZ227:CZ258" si="271">RSAM+RSAG</f>
        <v>126.38940400000001</v>
      </c>
      <c r="DA227" s="59">
        <f t="shared" ref="DA227:DA258" si="272">IF(MSASP&gt;0,0.3*(ZVAL*MSASP-RSAG),0)</f>
        <v>25.68497099999999</v>
      </c>
      <c r="DB227" s="59">
        <f t="shared" ref="DB227:DB258" si="273">IF(AND(MSASC&gt;0,(MSASC&gt;=0.36*RSAM)),(0.35*(ZVAL*MSASC-RSAG)),(0))</f>
        <v>0</v>
      </c>
      <c r="DC227" s="59">
        <f t="shared" ref="DC227:DC258" si="274">IF(MSASP&gt;0,0.295*(ZVAL*MSASP-RSAG),0)</f>
        <v>25.256888149999988</v>
      </c>
      <c r="DD227" s="59">
        <f t="shared" ref="DD227:DD258" si="275">IF(MSASC&gt;0,0.055*(MSASC-RSAG),0)</f>
        <v>0</v>
      </c>
      <c r="DE227" s="79">
        <f t="shared" ref="DE227:DE258" si="276">RSAMG+(ZVAL*0.3*0.36*(RSAM-RSAG))</f>
        <v>129.98516075200001</v>
      </c>
      <c r="DF227" s="83">
        <f t="shared" ref="DF227:DF257" si="277">IF(CY227="MG",DE227,IF(CY227="MGScr",RAMG+RASCO,IF(CY227="MGSp",RAMG+RASPO,IF(CY227="MGScrSp",RAMG+RASPSC+RASCR,0))))+RSAST+RSAD+RSAMZ+RSA2M</f>
        <v>152.074375</v>
      </c>
    </row>
    <row r="228" spans="2:110" ht="16.5" customHeight="1" x14ac:dyDescent="0.25">
      <c r="B228" s="47"/>
      <c r="C228" s="168" t="s">
        <v>693</v>
      </c>
      <c r="D228" s="169" t="s">
        <v>152</v>
      </c>
      <c r="E228" s="170" t="s">
        <v>694</v>
      </c>
      <c r="F228" s="50">
        <f t="shared" si="244"/>
        <v>0.9088440446566084</v>
      </c>
      <c r="G228" s="50" t="str">
        <f t="shared" ca="1" si="245"/>
        <v>No</v>
      </c>
      <c r="H228" s="51" t="str">
        <f t="shared" si="246"/>
        <v>Main - Genoa - Spinnaker</v>
      </c>
      <c r="I228" s="171">
        <v>37829</v>
      </c>
      <c r="J228" s="171"/>
      <c r="K228" s="172" t="s">
        <v>299</v>
      </c>
      <c r="L228" s="172" t="s">
        <v>387</v>
      </c>
      <c r="M228" s="171"/>
      <c r="N228" s="87" t="s">
        <v>537</v>
      </c>
      <c r="O228" s="87"/>
      <c r="P228" s="186">
        <v>5.9</v>
      </c>
      <c r="Q228" s="175">
        <v>8.15</v>
      </c>
      <c r="R228" s="78"/>
      <c r="S228" s="59">
        <f t="shared" si="252"/>
        <v>0.20375000000000001</v>
      </c>
      <c r="T228" s="176">
        <v>0.05</v>
      </c>
      <c r="U228" s="176">
        <v>0</v>
      </c>
      <c r="V228" s="61">
        <f t="shared" si="253"/>
        <v>8.1</v>
      </c>
      <c r="W228" s="62">
        <f>IF(RL&gt;0,IF(RL&gt;'Look Ups'!R$7,'Look Ups'!R$8,('Look Ups'!R$3*RL^3+'Look Ups'!R$4*RL^2+'Look Ups'!R$5*RL+'Look Ups'!R$6)),0)</f>
        <v>0.29413355299999999</v>
      </c>
      <c r="X228" s="177">
        <v>1022</v>
      </c>
      <c r="Y228" s="178"/>
      <c r="Z228" s="178"/>
      <c r="AA228" s="178"/>
      <c r="AB228" s="65">
        <f t="shared" si="254"/>
        <v>1022</v>
      </c>
      <c r="AC228" s="66">
        <f t="shared" si="255"/>
        <v>1022</v>
      </c>
      <c r="AD228" s="179" t="s">
        <v>129</v>
      </c>
      <c r="AE228" s="180" t="s">
        <v>130</v>
      </c>
      <c r="AF228" s="181" t="s">
        <v>131</v>
      </c>
      <c r="AG228" s="70">
        <f>IF(C228="",0,VLOOKUP(AD228,'Look Ups'!$B$3:$C$6,2,0)*VLOOKUP(AE228,'Look Ups'!$E$3:$F$5,2,0)*VLOOKUP(AF228,'Look Ups'!$H$3:$I$7,2,0))</f>
        <v>1</v>
      </c>
      <c r="AH228" s="80">
        <v>10.63</v>
      </c>
      <c r="AI228" s="77">
        <v>10.5</v>
      </c>
      <c r="AJ228" s="77">
        <v>3.27</v>
      </c>
      <c r="AK228" s="77">
        <v>1.2</v>
      </c>
      <c r="AL228" s="77">
        <v>0.35</v>
      </c>
      <c r="AM228" s="77">
        <v>10.28</v>
      </c>
      <c r="AN228" s="77">
        <v>0.08</v>
      </c>
      <c r="AO228" s="77">
        <v>3.37</v>
      </c>
      <c r="AP228" s="77"/>
      <c r="AQ228" s="77">
        <v>0.60000000000000009</v>
      </c>
      <c r="AR228" s="77" t="s">
        <v>132</v>
      </c>
      <c r="AS228" s="87">
        <v>0</v>
      </c>
      <c r="AT228" s="59">
        <f t="shared" si="256"/>
        <v>10.28</v>
      </c>
      <c r="AU228" s="59">
        <f t="shared" si="257"/>
        <v>2.3130000000000002</v>
      </c>
      <c r="AV228" s="72">
        <f>IF(C228="",0,(0.5*(_ML1*LPM)+0.5*(_ML1*HB)+0.66*(P*PR)+0.66*(_ML2*RDM)+0.66*(E*ER))*VLOOKUP(BATT,'Look Ups'!$N$3:$O$4,2,0))</f>
        <v>26.726334000000001</v>
      </c>
      <c r="AW228" s="182"/>
      <c r="AX228" s="183"/>
      <c r="AY228" s="80">
        <v>9.1</v>
      </c>
      <c r="AZ228" s="77">
        <v>2.57</v>
      </c>
      <c r="BA228" s="77">
        <v>2.86</v>
      </c>
      <c r="BB228" s="77">
        <v>0.08</v>
      </c>
      <c r="BC228" s="77">
        <v>8.1999999999999993</v>
      </c>
      <c r="BD228" s="77"/>
      <c r="BE228" s="77"/>
      <c r="BF228" s="77">
        <v>0.08</v>
      </c>
      <c r="BG228" s="77">
        <v>0</v>
      </c>
      <c r="BH228" s="87"/>
      <c r="BI228" s="72">
        <f t="shared" si="258"/>
        <v>12.277467999999997</v>
      </c>
      <c r="BJ228" s="76"/>
      <c r="BK228" s="77"/>
      <c r="BL228" s="78"/>
      <c r="BM228" s="78"/>
      <c r="BN228" s="77"/>
      <c r="BO228" s="78"/>
      <c r="BP228" s="78"/>
      <c r="BQ228" s="79">
        <f t="shared" si="259"/>
        <v>0</v>
      </c>
      <c r="BR228" s="80"/>
      <c r="BS228" s="77"/>
      <c r="BT228" s="77"/>
      <c r="BU228" s="77"/>
      <c r="BV228" s="77"/>
      <c r="BW228" s="77"/>
      <c r="BX228" s="77"/>
      <c r="BY228" s="72">
        <f t="shared" si="260"/>
        <v>0</v>
      </c>
      <c r="BZ228" s="182">
        <v>7.45</v>
      </c>
      <c r="CA228" s="77">
        <v>11.8</v>
      </c>
      <c r="CB228" s="77">
        <v>10.25</v>
      </c>
      <c r="CC228" s="77">
        <v>6.7</v>
      </c>
      <c r="CD228" s="65">
        <f t="shared" si="261"/>
        <v>89.932885906040269</v>
      </c>
      <c r="CE228" s="77">
        <v>0</v>
      </c>
      <c r="CF228" s="79">
        <f t="shared" si="262"/>
        <v>62.934375000000003</v>
      </c>
      <c r="CG228" s="80"/>
      <c r="CH228" s="77"/>
      <c r="CI228" s="77"/>
      <c r="CJ228" s="77"/>
      <c r="CK228" s="59" t="str">
        <f t="shared" ref="CK228:CK259" si="278">IF(CG228&gt;0,CJ228/CG228*100,"")</f>
        <v/>
      </c>
      <c r="CL228" s="77">
        <v>0</v>
      </c>
      <c r="CM228" s="72">
        <f t="shared" si="263"/>
        <v>0</v>
      </c>
      <c r="CN228" s="81">
        <f t="shared" si="264"/>
        <v>1</v>
      </c>
      <c r="CO228" s="59">
        <f t="shared" si="265"/>
        <v>29.039334</v>
      </c>
      <c r="CP228" s="59">
        <f t="shared" si="266"/>
        <v>1</v>
      </c>
      <c r="CQ228" s="59">
        <f t="shared" si="267"/>
        <v>12.277467999999997</v>
      </c>
      <c r="CR228" s="59">
        <f>IF(AV228&gt;0,'Look Ups'!$L$3,0)</f>
        <v>1</v>
      </c>
      <c r="CS228" s="59">
        <f t="shared" si="268"/>
        <v>0</v>
      </c>
      <c r="CT228" s="59">
        <f t="shared" ref="CT228:CT259" si="279">EFS*AS</f>
        <v>0</v>
      </c>
      <c r="CU228" s="59">
        <f t="shared" ref="CU228:CU259" si="280">IF(LPD&gt;0,0.72*(AD/(LPD^2))^0.3,0)</f>
        <v>0</v>
      </c>
      <c r="CV228" s="79">
        <f t="shared" ref="CV228:CV259" si="281">IF((AD-AG)&gt;0,0.3*(AD-AG)*EFD,0)</f>
        <v>0</v>
      </c>
      <c r="CW228" s="82" t="str">
        <f t="shared" si="269"/>
        <v>-</v>
      </c>
      <c r="CX228" s="65" t="str">
        <f t="shared" si="270"/>
        <v>valid</v>
      </c>
      <c r="CY228" s="66" t="str">
        <f t="shared" si="251"/>
        <v>MGSp</v>
      </c>
      <c r="CZ228" s="81">
        <f t="shared" si="271"/>
        <v>41.316801999999996</v>
      </c>
      <c r="DA228" s="59">
        <f t="shared" si="272"/>
        <v>15.1970721</v>
      </c>
      <c r="DB228" s="59">
        <f t="shared" si="273"/>
        <v>0</v>
      </c>
      <c r="DC228" s="59">
        <f t="shared" si="274"/>
        <v>14.943787565000001</v>
      </c>
      <c r="DD228" s="59">
        <f t="shared" si="275"/>
        <v>0</v>
      </c>
      <c r="DE228" s="79">
        <f t="shared" si="276"/>
        <v>43.127083527999993</v>
      </c>
      <c r="DF228" s="83">
        <f t="shared" si="277"/>
        <v>56.513874099999995</v>
      </c>
    </row>
    <row r="229" spans="2:110" ht="16.5" customHeight="1" x14ac:dyDescent="0.25">
      <c r="B229" s="168"/>
      <c r="C229" s="47" t="s">
        <v>356</v>
      </c>
      <c r="D229" s="48" t="s">
        <v>357</v>
      </c>
      <c r="E229" s="49" t="s">
        <v>864</v>
      </c>
      <c r="F229" s="50">
        <f t="shared" si="244"/>
        <v>0.90868656305841977</v>
      </c>
      <c r="G229" s="50" t="str">
        <f t="shared" ref="G229:G260" ca="1" si="282">IF(F229&gt;0,IF(OR(TODAY()-3650&gt;I229,CW229="ERROR",CX229="ERROR"),"No","Yes"),0)</f>
        <v>No</v>
      </c>
      <c r="H229" s="51" t="str">
        <f t="shared" ref="H229:H260" si="283">IF(CY229="","",IF(CY229="MG","Main - Genoa",IF(CY229="MGScr","Main - Genoa - Screacher",IF(CY229="MGSp","Main - Genoa - Spinnaker",IF(CY229="MGScrSp","Main - Genoa - Screacher - Spinnaker","Invalid"))))&amp;IF(AS&gt;0," - Staysail ","")&amp;IF(AD&gt;0," - Drifter","")&amp;IF(RSAMZ&gt;0," - Mizzen","")&amp;IF(RSA2M&gt;0," - Bi-Rig",""))</f>
        <v>Main - Genoa - Screacher - Spinnaker</v>
      </c>
      <c r="I229" s="52">
        <v>41207</v>
      </c>
      <c r="J229" s="52">
        <v>41230</v>
      </c>
      <c r="K229" s="53" t="s">
        <v>201</v>
      </c>
      <c r="L229" s="53" t="s">
        <v>137</v>
      </c>
      <c r="M229" s="54"/>
      <c r="N229" s="55" t="s">
        <v>127</v>
      </c>
      <c r="O229" s="55" t="s">
        <v>138</v>
      </c>
      <c r="P229" s="56"/>
      <c r="Q229" s="57">
        <v>6.7</v>
      </c>
      <c r="R229" s="58"/>
      <c r="S229" s="59">
        <f t="shared" si="252"/>
        <v>0.16750000000000001</v>
      </c>
      <c r="T229" s="60">
        <v>0.62</v>
      </c>
      <c r="U229" s="60">
        <v>0</v>
      </c>
      <c r="V229" s="61">
        <f t="shared" si="253"/>
        <v>6.08</v>
      </c>
      <c r="W229" s="62">
        <f>IF(RL&gt;0,IF(RL&gt;'Look Ups'!R$7,'Look Ups'!R$8,('Look Ups'!R$3*RL^3+'Look Ups'!R$4*RL^2+'Look Ups'!R$5*RL+'Look Ups'!R$6)),0)</f>
        <v>0.28472397849600001</v>
      </c>
      <c r="X229" s="63">
        <v>505</v>
      </c>
      <c r="Y229" s="64"/>
      <c r="Z229" s="64"/>
      <c r="AA229" s="64"/>
      <c r="AB229" s="65">
        <f t="shared" si="254"/>
        <v>505</v>
      </c>
      <c r="AC229" s="66">
        <f t="shared" si="255"/>
        <v>505</v>
      </c>
      <c r="AD229" s="67" t="s">
        <v>129</v>
      </c>
      <c r="AE229" s="68" t="s">
        <v>130</v>
      </c>
      <c r="AF229" s="69" t="s">
        <v>131</v>
      </c>
      <c r="AG229" s="70">
        <f>IF(C229="",0,VLOOKUP(AD229,'Look Ups'!$B$3:$C$6,2,0)*VLOOKUP(AE229,'Look Ups'!$E$3:$F$5,2,0)*VLOOKUP(AF229,'Look Ups'!$H$3:$I$7,2,0))</f>
        <v>1</v>
      </c>
      <c r="AH229" s="71">
        <v>9.48</v>
      </c>
      <c r="AI229" s="60">
        <v>9.25</v>
      </c>
      <c r="AJ229" s="60">
        <v>2.78</v>
      </c>
      <c r="AK229" s="60">
        <v>1.21</v>
      </c>
      <c r="AL229" s="60">
        <v>0.30000000000000004</v>
      </c>
      <c r="AM229" s="60">
        <v>9.42</v>
      </c>
      <c r="AN229" s="60">
        <v>0.1</v>
      </c>
      <c r="AO229" s="60">
        <v>2.84</v>
      </c>
      <c r="AP229" s="60">
        <v>0.05</v>
      </c>
      <c r="AQ229" s="60">
        <v>0.47</v>
      </c>
      <c r="AR229" s="60" t="s">
        <v>132</v>
      </c>
      <c r="AS229" s="75">
        <v>0</v>
      </c>
      <c r="AT229" s="59">
        <f t="shared" si="256"/>
        <v>9.4700000000000006</v>
      </c>
      <c r="AU229" s="59">
        <f t="shared" si="257"/>
        <v>1.6602749999999997</v>
      </c>
      <c r="AV229" s="72">
        <f>IF(C229="",0,(0.5*(_ML1*LPM)+0.5*(_ML1*HB)+0.66*(P*PR)+0.66*(_ML2*RDM)+0.66*(E*ER))*VLOOKUP(BATT,'Look Ups'!$N$3:$O$4,2,0))</f>
        <v>21.459540000000001</v>
      </c>
      <c r="AW229" s="73"/>
      <c r="AX229" s="74"/>
      <c r="AY229" s="71">
        <v>7.68</v>
      </c>
      <c r="AZ229" s="60">
        <v>2.04</v>
      </c>
      <c r="BA229" s="60">
        <v>2.23</v>
      </c>
      <c r="BB229" s="60">
        <v>0.06</v>
      </c>
      <c r="BC229" s="60">
        <v>7.68</v>
      </c>
      <c r="BD229" s="60"/>
      <c r="BE229" s="60"/>
      <c r="BF229" s="60">
        <v>-0.06</v>
      </c>
      <c r="BG229" s="60">
        <v>0</v>
      </c>
      <c r="BH229" s="75">
        <v>0</v>
      </c>
      <c r="BI229" s="72">
        <f t="shared" si="258"/>
        <v>7.6177799999999989</v>
      </c>
      <c r="BJ229" s="76"/>
      <c r="BK229" s="77"/>
      <c r="BL229" s="78"/>
      <c r="BM229" s="78"/>
      <c r="BN229" s="77"/>
      <c r="BO229" s="78"/>
      <c r="BP229" s="78"/>
      <c r="BQ229" s="79">
        <f t="shared" si="259"/>
        <v>0</v>
      </c>
      <c r="BR229" s="80"/>
      <c r="BS229" s="77"/>
      <c r="BT229" s="77"/>
      <c r="BU229" s="77"/>
      <c r="BV229" s="77"/>
      <c r="BW229" s="77"/>
      <c r="BX229" s="77"/>
      <c r="BY229" s="72">
        <f t="shared" si="260"/>
        <v>0</v>
      </c>
      <c r="BZ229" s="73">
        <v>5.37</v>
      </c>
      <c r="CA229" s="60">
        <v>10.82</v>
      </c>
      <c r="CB229" s="60">
        <v>9.7200000000000006</v>
      </c>
      <c r="CC229" s="60">
        <v>4.47</v>
      </c>
      <c r="CD229" s="65">
        <f t="shared" si="261"/>
        <v>83.240223463687144</v>
      </c>
      <c r="CE229" s="60">
        <v>0</v>
      </c>
      <c r="CF229" s="79">
        <f t="shared" si="262"/>
        <v>39.796249999999993</v>
      </c>
      <c r="CG229" s="71">
        <v>4.6399999999999997</v>
      </c>
      <c r="CH229" s="60">
        <v>9.9600000000000009</v>
      </c>
      <c r="CI229" s="60">
        <v>9.16</v>
      </c>
      <c r="CJ229" s="60">
        <v>2.36</v>
      </c>
      <c r="CK229" s="59">
        <f t="shared" si="278"/>
        <v>50.862068965517238</v>
      </c>
      <c r="CL229" s="60">
        <v>0</v>
      </c>
      <c r="CM229" s="72">
        <f t="shared" si="263"/>
        <v>22.434133333333332</v>
      </c>
      <c r="CN229" s="81">
        <f t="shared" si="264"/>
        <v>1</v>
      </c>
      <c r="CO229" s="59">
        <f t="shared" si="265"/>
        <v>23.119814999999999</v>
      </c>
      <c r="CP229" s="59">
        <f t="shared" si="266"/>
        <v>1</v>
      </c>
      <c r="CQ229" s="59">
        <f t="shared" si="267"/>
        <v>7.6177799999999989</v>
      </c>
      <c r="CR229" s="59">
        <f>IF(AV229&gt;0,'Look Ups'!$L$3,0)</f>
        <v>1</v>
      </c>
      <c r="CS229" s="59">
        <f t="shared" si="268"/>
        <v>0</v>
      </c>
      <c r="CT229" s="59">
        <f t="shared" si="279"/>
        <v>0</v>
      </c>
      <c r="CU229" s="59">
        <f t="shared" si="280"/>
        <v>0</v>
      </c>
      <c r="CV229" s="79">
        <f t="shared" si="281"/>
        <v>0</v>
      </c>
      <c r="CW229" s="82" t="str">
        <f t="shared" si="269"/>
        <v>valid</v>
      </c>
      <c r="CX229" s="65" t="str">
        <f t="shared" si="270"/>
        <v>valid</v>
      </c>
      <c r="CY229" s="66" t="str">
        <f t="shared" ref="CY229:CY260" si="284">IF(C229="","",IF(CW229="valid",IF(CX229="valid","MGScrSp","MGScr"),IF(CX229="valid","MGSp","MG")))</f>
        <v>MGScrSp</v>
      </c>
      <c r="CZ229" s="81">
        <f t="shared" si="271"/>
        <v>30.737594999999999</v>
      </c>
      <c r="DA229" s="59">
        <f t="shared" si="272"/>
        <v>9.6535409999999988</v>
      </c>
      <c r="DB229" s="59">
        <f t="shared" si="273"/>
        <v>5.1857236666666662</v>
      </c>
      <c r="DC229" s="59">
        <f t="shared" si="274"/>
        <v>9.4926486499999978</v>
      </c>
      <c r="DD229" s="59">
        <f t="shared" si="275"/>
        <v>0.81489943333333326</v>
      </c>
      <c r="DE229" s="79">
        <f t="shared" si="276"/>
        <v>32.41181478</v>
      </c>
      <c r="DF229" s="83">
        <f t="shared" si="277"/>
        <v>41.045143083333329</v>
      </c>
    </row>
    <row r="230" spans="2:110" ht="16.5" customHeight="1" x14ac:dyDescent="0.25">
      <c r="B230" s="47"/>
      <c r="C230" s="47" t="s">
        <v>358</v>
      </c>
      <c r="D230" s="48" t="s">
        <v>258</v>
      </c>
      <c r="E230" s="49" t="s">
        <v>865</v>
      </c>
      <c r="F230" s="50">
        <f t="shared" si="244"/>
        <v>0.84479797445052862</v>
      </c>
      <c r="G230" s="50" t="str">
        <f t="shared" ca="1" si="282"/>
        <v>No</v>
      </c>
      <c r="H230" s="51" t="str">
        <f t="shared" si="283"/>
        <v>Main - Genoa - Spinnaker</v>
      </c>
      <c r="I230" s="52">
        <v>38290</v>
      </c>
      <c r="J230" s="52">
        <v>40798</v>
      </c>
      <c r="K230" s="53" t="s">
        <v>205</v>
      </c>
      <c r="L230" s="53" t="s">
        <v>187</v>
      </c>
      <c r="M230" s="54"/>
      <c r="N230" s="75" t="s">
        <v>127</v>
      </c>
      <c r="O230" s="75" t="s">
        <v>128</v>
      </c>
      <c r="P230" s="56"/>
      <c r="Q230" s="57">
        <v>7.39</v>
      </c>
      <c r="R230" s="58"/>
      <c r="S230" s="59">
        <f t="shared" si="252"/>
        <v>0.18475</v>
      </c>
      <c r="T230" s="60">
        <v>0.23</v>
      </c>
      <c r="U230" s="60">
        <v>0</v>
      </c>
      <c r="V230" s="61">
        <f t="shared" si="253"/>
        <v>7.1599999999999993</v>
      </c>
      <c r="W230" s="62">
        <f>IF(RL&gt;0,IF(RL&gt;'Look Ups'!R$7,'Look Ups'!R$8,('Look Ups'!R$3*RL^3+'Look Ups'!R$4*RL^2+'Look Ups'!R$5*RL+'Look Ups'!R$6)),0)</f>
        <v>0.29046119596800002</v>
      </c>
      <c r="X230" s="63">
        <v>1135</v>
      </c>
      <c r="Y230" s="64"/>
      <c r="Z230" s="64"/>
      <c r="AA230" s="64"/>
      <c r="AB230" s="65">
        <f t="shared" si="254"/>
        <v>1135</v>
      </c>
      <c r="AC230" s="66">
        <f t="shared" si="255"/>
        <v>1135</v>
      </c>
      <c r="AD230" s="67" t="s">
        <v>129</v>
      </c>
      <c r="AE230" s="68" t="s">
        <v>130</v>
      </c>
      <c r="AF230" s="69" t="s">
        <v>131</v>
      </c>
      <c r="AG230" s="70">
        <f>IF(C230="",0,VLOOKUP(AD230,'Look Ups'!$B$3:$C$6,2,0)*VLOOKUP(AE230,'Look Ups'!$E$3:$F$5,2,0)*VLOOKUP(AF230,'Look Ups'!$H$3:$I$7,2,0))</f>
        <v>1</v>
      </c>
      <c r="AH230" s="71">
        <v>10.19</v>
      </c>
      <c r="AI230" s="60">
        <v>9.23</v>
      </c>
      <c r="AJ230" s="60">
        <v>3.33</v>
      </c>
      <c r="AK230" s="60">
        <v>1.19</v>
      </c>
      <c r="AL230" s="60">
        <v>0.43</v>
      </c>
      <c r="AM230" s="60">
        <v>10</v>
      </c>
      <c r="AN230" s="60">
        <v>0.15</v>
      </c>
      <c r="AO230" s="60">
        <v>3.42</v>
      </c>
      <c r="AP230" s="60">
        <v>0.05</v>
      </c>
      <c r="AQ230" s="60">
        <v>0.45</v>
      </c>
      <c r="AR230" s="60" t="s">
        <v>132</v>
      </c>
      <c r="AS230" s="75">
        <v>0</v>
      </c>
      <c r="AT230" s="59">
        <f t="shared" si="256"/>
        <v>10.050000000000001</v>
      </c>
      <c r="AU230" s="59">
        <f t="shared" si="257"/>
        <v>1.6875</v>
      </c>
      <c r="AV230" s="72">
        <f>IF(C230="",0,(0.5*(_ML1*LPM)+0.5*(_ML1*HB)+0.66*(P*PR)+0.66*(_ML2*RDM)+0.66*(E*ER))*VLOOKUP(BATT,'Look Ups'!$N$3:$O$4,2,0))</f>
        <v>26.751733999999999</v>
      </c>
      <c r="AW230" s="73"/>
      <c r="AX230" s="74"/>
      <c r="AY230" s="71">
        <v>7.96</v>
      </c>
      <c r="AZ230" s="60">
        <v>2.8250000000000002</v>
      </c>
      <c r="BA230" s="60">
        <v>3.15</v>
      </c>
      <c r="BB230" s="60">
        <v>0.09</v>
      </c>
      <c r="BC230" s="60">
        <v>7.125</v>
      </c>
      <c r="BD230" s="60"/>
      <c r="BE230" s="60"/>
      <c r="BF230" s="60">
        <v>0.20500000000000002</v>
      </c>
      <c r="BG230" s="60">
        <v>2.5000000000000001E-2</v>
      </c>
      <c r="BH230" s="75">
        <v>0</v>
      </c>
      <c r="BI230" s="72">
        <f t="shared" si="258"/>
        <v>12.525962500000002</v>
      </c>
      <c r="BJ230" s="76"/>
      <c r="BK230" s="77"/>
      <c r="BL230" s="78"/>
      <c r="BM230" s="78"/>
      <c r="BN230" s="77"/>
      <c r="BO230" s="78"/>
      <c r="BP230" s="78"/>
      <c r="BQ230" s="79">
        <f t="shared" si="259"/>
        <v>0</v>
      </c>
      <c r="BR230" s="80"/>
      <c r="BS230" s="77"/>
      <c r="BT230" s="77"/>
      <c r="BU230" s="77"/>
      <c r="BV230" s="77"/>
      <c r="BW230" s="77"/>
      <c r="BX230" s="77"/>
      <c r="BY230" s="72">
        <f t="shared" si="260"/>
        <v>0</v>
      </c>
      <c r="BZ230" s="73">
        <v>7.04</v>
      </c>
      <c r="CA230" s="60">
        <v>12.52</v>
      </c>
      <c r="CB230" s="60">
        <v>11.2</v>
      </c>
      <c r="CC230" s="60">
        <v>6.65</v>
      </c>
      <c r="CD230" s="65">
        <f t="shared" si="261"/>
        <v>94.46022727272728</v>
      </c>
      <c r="CE230" s="60">
        <v>0</v>
      </c>
      <c r="CF230" s="79">
        <f t="shared" si="262"/>
        <v>66.495066666666673</v>
      </c>
      <c r="CG230" s="71"/>
      <c r="CH230" s="60"/>
      <c r="CI230" s="60"/>
      <c r="CJ230" s="60"/>
      <c r="CK230" s="59" t="str">
        <f t="shared" si="278"/>
        <v/>
      </c>
      <c r="CL230" s="60">
        <v>0</v>
      </c>
      <c r="CM230" s="72">
        <f t="shared" si="263"/>
        <v>0</v>
      </c>
      <c r="CN230" s="81">
        <f t="shared" si="264"/>
        <v>1</v>
      </c>
      <c r="CO230" s="59">
        <f t="shared" si="265"/>
        <v>28.439233999999999</v>
      </c>
      <c r="CP230" s="59">
        <f t="shared" si="266"/>
        <v>1</v>
      </c>
      <c r="CQ230" s="59">
        <f t="shared" si="267"/>
        <v>12.525962500000002</v>
      </c>
      <c r="CR230" s="59">
        <f>IF(AV230&gt;0,'Look Ups'!$L$3,0)</f>
        <v>1</v>
      </c>
      <c r="CS230" s="59">
        <f t="shared" si="268"/>
        <v>0</v>
      </c>
      <c r="CT230" s="59">
        <f t="shared" si="279"/>
        <v>0</v>
      </c>
      <c r="CU230" s="59">
        <f t="shared" si="280"/>
        <v>0</v>
      </c>
      <c r="CV230" s="79">
        <f t="shared" si="281"/>
        <v>0</v>
      </c>
      <c r="CW230" s="82" t="str">
        <f t="shared" si="269"/>
        <v>-</v>
      </c>
      <c r="CX230" s="65" t="str">
        <f t="shared" si="270"/>
        <v>valid</v>
      </c>
      <c r="CY230" s="66" t="str">
        <f t="shared" si="284"/>
        <v>MGSp</v>
      </c>
      <c r="CZ230" s="81">
        <f t="shared" si="271"/>
        <v>40.965196500000005</v>
      </c>
      <c r="DA230" s="59">
        <f t="shared" si="272"/>
        <v>16.190731249999999</v>
      </c>
      <c r="DB230" s="59">
        <f t="shared" si="273"/>
        <v>0</v>
      </c>
      <c r="DC230" s="59">
        <f t="shared" si="274"/>
        <v>15.920885729166667</v>
      </c>
      <c r="DD230" s="59">
        <f t="shared" si="275"/>
        <v>0</v>
      </c>
      <c r="DE230" s="79">
        <f t="shared" si="276"/>
        <v>42.683829822000007</v>
      </c>
      <c r="DF230" s="83">
        <f t="shared" si="277"/>
        <v>57.155927750000004</v>
      </c>
    </row>
    <row r="231" spans="2:110" ht="16.5" customHeight="1" x14ac:dyDescent="0.25">
      <c r="B231" s="47"/>
      <c r="C231" s="47" t="s">
        <v>929</v>
      </c>
      <c r="D231" s="48" t="s">
        <v>569</v>
      </c>
      <c r="E231" s="49" t="s">
        <v>930</v>
      </c>
      <c r="F231" s="50">
        <f t="shared" si="244"/>
        <v>0.76266062606973428</v>
      </c>
      <c r="G231" s="50" t="str">
        <f t="shared" ca="1" si="282"/>
        <v>Yes</v>
      </c>
      <c r="H231" s="51" t="str">
        <f t="shared" si="283"/>
        <v>Main - Genoa - Screacher - Spinnaker</v>
      </c>
      <c r="I231" s="52">
        <v>43172</v>
      </c>
      <c r="J231" s="52">
        <v>43405</v>
      </c>
      <c r="K231" s="53" t="s">
        <v>260</v>
      </c>
      <c r="L231" s="53" t="s">
        <v>841</v>
      </c>
      <c r="M231" s="54"/>
      <c r="N231" s="75" t="s">
        <v>127</v>
      </c>
      <c r="O231" s="75"/>
      <c r="P231" s="56"/>
      <c r="Q231" s="57">
        <v>9.6</v>
      </c>
      <c r="R231" s="58"/>
      <c r="S231" s="59">
        <f t="shared" si="252"/>
        <v>0.24</v>
      </c>
      <c r="T231" s="60">
        <v>0.15</v>
      </c>
      <c r="U231" s="60"/>
      <c r="V231" s="61">
        <f t="shared" si="253"/>
        <v>9.4499999999999993</v>
      </c>
      <c r="W231" s="62">
        <f>IF(RL&gt;0,IF(RL&gt;'Look Ups'!R$7,'Look Ups'!R$8,('Look Ups'!R$3*RL^3+'Look Ups'!R$4*RL^2+'Look Ups'!R$5*RL+'Look Ups'!R$6)),0)</f>
        <v>0.29760048462499999</v>
      </c>
      <c r="X231" s="63">
        <v>2710</v>
      </c>
      <c r="Y231" s="64"/>
      <c r="Z231" s="64"/>
      <c r="AA231" s="64"/>
      <c r="AB231" s="65">
        <f t="shared" si="254"/>
        <v>2710</v>
      </c>
      <c r="AC231" s="66">
        <f t="shared" si="255"/>
        <v>2710</v>
      </c>
      <c r="AD231" s="67" t="s">
        <v>129</v>
      </c>
      <c r="AE231" s="68" t="s">
        <v>130</v>
      </c>
      <c r="AF231" s="69" t="s">
        <v>131</v>
      </c>
      <c r="AG231" s="70">
        <f>IF(C231="",0,VLOOKUP(AD231,'Look Ups'!$B$3:$C$6,2,0)*VLOOKUP(AE231,'Look Ups'!$E$3:$F$5,2,0)*VLOOKUP(AF231,'Look Ups'!$H$3:$I$7,2,0))</f>
        <v>1</v>
      </c>
      <c r="AH231" s="71">
        <v>11.62</v>
      </c>
      <c r="AI231" s="60">
        <v>11.4</v>
      </c>
      <c r="AJ231" s="60">
        <v>4.18</v>
      </c>
      <c r="AK231" s="60">
        <v>1.07</v>
      </c>
      <c r="AL231" s="60">
        <v>0.54</v>
      </c>
      <c r="AM231" s="60">
        <v>11.28</v>
      </c>
      <c r="AN231" s="60">
        <v>0.19</v>
      </c>
      <c r="AO231" s="60">
        <v>4.3099999999999996</v>
      </c>
      <c r="AP231" s="60">
        <v>7.0000000000000007E-2</v>
      </c>
      <c r="AQ231" s="60"/>
      <c r="AR231" s="60" t="s">
        <v>132</v>
      </c>
      <c r="AS231" s="75"/>
      <c r="AT231" s="59">
        <f t="shared" si="256"/>
        <v>11.35</v>
      </c>
      <c r="AU231" s="59">
        <f t="shared" si="257"/>
        <v>0</v>
      </c>
      <c r="AV231" s="72">
        <f>IF(C231="",0,(0.5*(_ML1*LPM)+0.5*(_ML1*HB)+0.66*(P*PR)+0.66*(_ML2*RDM)+0.66*(E*ER))*VLOOKUP(BATT,'Look Ups'!$N$3:$O$4,2,0))</f>
        <v>36.179093999999999</v>
      </c>
      <c r="AW231" s="73"/>
      <c r="AX231" s="74"/>
      <c r="AY231" s="71">
        <v>10.64</v>
      </c>
      <c r="AZ231" s="60">
        <v>3.58</v>
      </c>
      <c r="BA231" s="60">
        <v>3.83</v>
      </c>
      <c r="BB231" s="60">
        <v>0.13</v>
      </c>
      <c r="BC231" s="60">
        <v>9.6999999999999993</v>
      </c>
      <c r="BD231" s="60"/>
      <c r="BE231" s="60"/>
      <c r="BF231" s="60">
        <v>-0.14000000000000001</v>
      </c>
      <c r="BG231" s="60">
        <v>0.125</v>
      </c>
      <c r="BH231" s="75"/>
      <c r="BI231" s="72">
        <f t="shared" si="258"/>
        <v>19.355734000000002</v>
      </c>
      <c r="BJ231" s="76"/>
      <c r="BK231" s="77"/>
      <c r="BL231" s="78"/>
      <c r="BM231" s="78"/>
      <c r="BN231" s="77"/>
      <c r="BO231" s="78"/>
      <c r="BP231" s="78"/>
      <c r="BQ231" s="79">
        <f t="shared" si="259"/>
        <v>0</v>
      </c>
      <c r="BR231" s="80"/>
      <c r="BS231" s="77"/>
      <c r="BT231" s="77"/>
      <c r="BU231" s="77"/>
      <c r="BV231" s="77"/>
      <c r="BW231" s="77"/>
      <c r="BX231" s="77"/>
      <c r="BY231" s="72">
        <f t="shared" si="260"/>
        <v>0</v>
      </c>
      <c r="BZ231" s="73">
        <v>7.27</v>
      </c>
      <c r="CA231" s="60">
        <v>11.77</v>
      </c>
      <c r="CB231" s="60">
        <v>10.83</v>
      </c>
      <c r="CC231" s="60">
        <v>6.84</v>
      </c>
      <c r="CD231" s="65">
        <f t="shared" si="261"/>
        <v>94.085281980742792</v>
      </c>
      <c r="CE231" s="60"/>
      <c r="CF231" s="79">
        <f t="shared" si="262"/>
        <v>65.219833333333327</v>
      </c>
      <c r="CG231" s="71">
        <v>8.07</v>
      </c>
      <c r="CH231" s="60">
        <v>11.5</v>
      </c>
      <c r="CI231" s="60">
        <v>10.64</v>
      </c>
      <c r="CJ231" s="60">
        <v>4.1399999999999997</v>
      </c>
      <c r="CK231" s="59">
        <f t="shared" si="278"/>
        <v>51.301115241635685</v>
      </c>
      <c r="CL231" s="60"/>
      <c r="CM231" s="72">
        <f t="shared" si="263"/>
        <v>45.442349999999998</v>
      </c>
      <c r="CN231" s="81">
        <f t="shared" si="264"/>
        <v>1</v>
      </c>
      <c r="CO231" s="59">
        <f t="shared" si="265"/>
        <v>36.179093999999999</v>
      </c>
      <c r="CP231" s="59">
        <f t="shared" si="266"/>
        <v>1</v>
      </c>
      <c r="CQ231" s="59">
        <f t="shared" si="267"/>
        <v>19.355734000000002</v>
      </c>
      <c r="CR231" s="59">
        <f>IF(AV231&gt;0,'Look Ups'!$L$3,0)</f>
        <v>1</v>
      </c>
      <c r="CS231" s="59">
        <f t="shared" si="268"/>
        <v>0</v>
      </c>
      <c r="CT231" s="59">
        <f t="shared" si="279"/>
        <v>0</v>
      </c>
      <c r="CU231" s="59">
        <f t="shared" si="280"/>
        <v>0</v>
      </c>
      <c r="CV231" s="79">
        <f t="shared" si="281"/>
        <v>0</v>
      </c>
      <c r="CW231" s="82" t="str">
        <f t="shared" si="269"/>
        <v>valid</v>
      </c>
      <c r="CX231" s="65" t="str">
        <f t="shared" si="270"/>
        <v>valid</v>
      </c>
      <c r="CY231" s="66" t="str">
        <f t="shared" si="284"/>
        <v>MGScrSp</v>
      </c>
      <c r="CZ231" s="81">
        <f t="shared" si="271"/>
        <v>55.534828000000005</v>
      </c>
      <c r="DA231" s="59">
        <f t="shared" si="272"/>
        <v>13.759229799999998</v>
      </c>
      <c r="DB231" s="59">
        <f t="shared" si="273"/>
        <v>9.1303155999999976</v>
      </c>
      <c r="DC231" s="59">
        <f t="shared" si="274"/>
        <v>13.529909303333332</v>
      </c>
      <c r="DD231" s="59">
        <f t="shared" si="275"/>
        <v>1.4347638799999998</v>
      </c>
      <c r="DE231" s="79">
        <f t="shared" si="276"/>
        <v>57.351750880000004</v>
      </c>
      <c r="DF231" s="83">
        <f t="shared" si="277"/>
        <v>70.499501183333336</v>
      </c>
    </row>
    <row r="232" spans="2:110" ht="16.5" customHeight="1" x14ac:dyDescent="0.25">
      <c r="B232" s="262"/>
      <c r="C232" s="168" t="s">
        <v>695</v>
      </c>
      <c r="D232" s="184"/>
      <c r="E232" s="170"/>
      <c r="F232" s="50">
        <f t="shared" si="244"/>
        <v>0.96466548733769053</v>
      </c>
      <c r="G232" s="50" t="str">
        <f t="shared" ca="1" si="282"/>
        <v>No</v>
      </c>
      <c r="H232" s="51" t="str">
        <f t="shared" si="283"/>
        <v>Main - Genoa - Spinnaker</v>
      </c>
      <c r="I232" s="171">
        <v>37988</v>
      </c>
      <c r="J232" s="171"/>
      <c r="K232" s="172" t="s">
        <v>587</v>
      </c>
      <c r="L232" s="172" t="s">
        <v>587</v>
      </c>
      <c r="M232" s="171"/>
      <c r="N232" s="87" t="s">
        <v>149</v>
      </c>
      <c r="O232" s="87"/>
      <c r="P232" s="185"/>
      <c r="Q232" s="175">
        <v>12.2</v>
      </c>
      <c r="R232" s="78"/>
      <c r="S232" s="59">
        <f t="shared" si="252"/>
        <v>0.30499999999999999</v>
      </c>
      <c r="T232" s="176">
        <v>0</v>
      </c>
      <c r="U232" s="176">
        <v>0</v>
      </c>
      <c r="V232" s="61">
        <f t="shared" si="253"/>
        <v>12.2</v>
      </c>
      <c r="W232" s="62">
        <f>IF(RL&gt;0,IF(RL&gt;'Look Ups'!R$7,'Look Ups'!R$8,('Look Ups'!R$3*RL^3+'Look Ups'!R$4*RL^2+'Look Ups'!R$5*RL+'Look Ups'!R$6)),0)</f>
        <v>0.3</v>
      </c>
      <c r="X232" s="177">
        <v>2950</v>
      </c>
      <c r="Y232" s="178">
        <v>0</v>
      </c>
      <c r="Z232" s="178"/>
      <c r="AA232" s="178"/>
      <c r="AB232" s="65">
        <f t="shared" si="254"/>
        <v>2950</v>
      </c>
      <c r="AC232" s="66">
        <f t="shared" si="255"/>
        <v>2950</v>
      </c>
      <c r="AD232" s="179" t="s">
        <v>129</v>
      </c>
      <c r="AE232" s="180" t="s">
        <v>130</v>
      </c>
      <c r="AF232" s="181" t="s">
        <v>131</v>
      </c>
      <c r="AG232" s="70">
        <f>IF(C232="",0,VLOOKUP(AD232,'Look Ups'!$B$3:$C$6,2,0)*VLOOKUP(AE232,'Look Ups'!$E$3:$F$5,2,0)*VLOOKUP(AF232,'Look Ups'!$H$3:$I$7,2,0))</f>
        <v>1</v>
      </c>
      <c r="AH232" s="80">
        <v>15.93</v>
      </c>
      <c r="AI232" s="77">
        <v>15.06</v>
      </c>
      <c r="AJ232" s="77">
        <v>5.42</v>
      </c>
      <c r="AK232" s="77">
        <v>1.22</v>
      </c>
      <c r="AL232" s="77">
        <v>0.48</v>
      </c>
      <c r="AM232" s="77">
        <v>15.31</v>
      </c>
      <c r="AN232" s="77">
        <v>0</v>
      </c>
      <c r="AO232" s="77">
        <v>5.6</v>
      </c>
      <c r="AP232" s="77">
        <v>-0.1</v>
      </c>
      <c r="AQ232" s="77">
        <v>1.27</v>
      </c>
      <c r="AR232" s="77" t="s">
        <v>132</v>
      </c>
      <c r="AS232" s="87">
        <v>0</v>
      </c>
      <c r="AT232" s="59">
        <f t="shared" si="256"/>
        <v>15.21</v>
      </c>
      <c r="AU232" s="59">
        <f t="shared" si="257"/>
        <v>7.2913874999999999</v>
      </c>
      <c r="AV232" s="72">
        <f>IF(C232="",0,(0.5*(_ML1*LPM)+0.5*(_ML1*HB)+0.66*(P*PR)+0.66*(_ML2*RDM)+0.66*(E*ER))*VLOOKUP(BATT,'Look Ups'!$N$3:$O$4,2,0))</f>
        <v>57.289008000000003</v>
      </c>
      <c r="AW232" s="182"/>
      <c r="AX232" s="183"/>
      <c r="AY232" s="80">
        <v>13.44</v>
      </c>
      <c r="AZ232" s="77">
        <v>3.65</v>
      </c>
      <c r="BA232" s="77">
        <v>3.9</v>
      </c>
      <c r="BB232" s="77">
        <v>0</v>
      </c>
      <c r="BC232" s="77">
        <v>12.65</v>
      </c>
      <c r="BD232" s="77"/>
      <c r="BE232" s="77"/>
      <c r="BF232" s="77">
        <v>0</v>
      </c>
      <c r="BG232" s="77">
        <v>0.2</v>
      </c>
      <c r="BH232" s="87">
        <v>0</v>
      </c>
      <c r="BI232" s="72">
        <f t="shared" si="258"/>
        <v>26.30208</v>
      </c>
      <c r="BJ232" s="76"/>
      <c r="BK232" s="77"/>
      <c r="BL232" s="78"/>
      <c r="BM232" s="78"/>
      <c r="BN232" s="77"/>
      <c r="BO232" s="78"/>
      <c r="BP232" s="78"/>
      <c r="BQ232" s="79">
        <f t="shared" si="259"/>
        <v>0</v>
      </c>
      <c r="BR232" s="80"/>
      <c r="BS232" s="77"/>
      <c r="BT232" s="77"/>
      <c r="BU232" s="77"/>
      <c r="BV232" s="77"/>
      <c r="BW232" s="77"/>
      <c r="BX232" s="77"/>
      <c r="BY232" s="72">
        <f t="shared" si="260"/>
        <v>0</v>
      </c>
      <c r="BZ232" s="182">
        <v>7.9</v>
      </c>
      <c r="CA232" s="77">
        <v>16.440000000000001</v>
      </c>
      <c r="CB232" s="77">
        <v>15.15</v>
      </c>
      <c r="CC232" s="77">
        <v>6.8</v>
      </c>
      <c r="CD232" s="65">
        <f t="shared" si="261"/>
        <v>86.075949367088597</v>
      </c>
      <c r="CE232" s="87">
        <v>0</v>
      </c>
      <c r="CF232" s="79">
        <f t="shared" si="262"/>
        <v>92.400750000000002</v>
      </c>
      <c r="CG232" s="80"/>
      <c r="CH232" s="77"/>
      <c r="CI232" s="77"/>
      <c r="CJ232" s="77"/>
      <c r="CK232" s="59" t="str">
        <f t="shared" si="278"/>
        <v/>
      </c>
      <c r="CL232" s="87">
        <v>0</v>
      </c>
      <c r="CM232" s="72">
        <f t="shared" si="263"/>
        <v>0</v>
      </c>
      <c r="CN232" s="81">
        <f t="shared" si="264"/>
        <v>1</v>
      </c>
      <c r="CO232" s="59">
        <f t="shared" si="265"/>
        <v>64.580395500000009</v>
      </c>
      <c r="CP232" s="59">
        <f t="shared" si="266"/>
        <v>1</v>
      </c>
      <c r="CQ232" s="59">
        <f t="shared" si="267"/>
        <v>26.30208</v>
      </c>
      <c r="CR232" s="59">
        <f>IF(AV232&gt;0,'Look Ups'!$L$3,0)</f>
        <v>1</v>
      </c>
      <c r="CS232" s="59">
        <f t="shared" si="268"/>
        <v>0</v>
      </c>
      <c r="CT232" s="59">
        <f t="shared" si="279"/>
        <v>0</v>
      </c>
      <c r="CU232" s="59">
        <f t="shared" si="280"/>
        <v>0</v>
      </c>
      <c r="CV232" s="79">
        <f t="shared" si="281"/>
        <v>0</v>
      </c>
      <c r="CW232" s="82" t="str">
        <f t="shared" si="269"/>
        <v>-</v>
      </c>
      <c r="CX232" s="65" t="str">
        <f t="shared" si="270"/>
        <v>valid</v>
      </c>
      <c r="CY232" s="66" t="str">
        <f t="shared" si="284"/>
        <v>MGSp</v>
      </c>
      <c r="CZ232" s="81">
        <f t="shared" si="271"/>
        <v>90.882475500000012</v>
      </c>
      <c r="DA232" s="59">
        <f t="shared" si="272"/>
        <v>19.829601</v>
      </c>
      <c r="DB232" s="59">
        <f t="shared" si="273"/>
        <v>0</v>
      </c>
      <c r="DC232" s="59">
        <f t="shared" si="274"/>
        <v>19.499107649999999</v>
      </c>
      <c r="DD232" s="59">
        <f t="shared" si="275"/>
        <v>0</v>
      </c>
      <c r="DE232" s="79">
        <f t="shared" si="276"/>
        <v>95.016533574000007</v>
      </c>
      <c r="DF232" s="83">
        <f t="shared" si="277"/>
        <v>110.71207650000001</v>
      </c>
    </row>
    <row r="233" spans="2:110" ht="16.5" customHeight="1" x14ac:dyDescent="0.25">
      <c r="B233" s="168"/>
      <c r="C233" s="168" t="s">
        <v>696</v>
      </c>
      <c r="D233" s="184"/>
      <c r="E233" s="170" t="s">
        <v>697</v>
      </c>
      <c r="F233" s="50">
        <f t="shared" si="244"/>
        <v>0.82568910902930626</v>
      </c>
      <c r="G233" s="50" t="str">
        <f t="shared" ca="1" si="282"/>
        <v>No</v>
      </c>
      <c r="H233" s="51" t="str">
        <f t="shared" si="283"/>
        <v>Main - Genoa - Spinnaker</v>
      </c>
      <c r="I233" s="171">
        <v>35828</v>
      </c>
      <c r="J233" s="171">
        <v>38970</v>
      </c>
      <c r="K233" s="172" t="s">
        <v>587</v>
      </c>
      <c r="L233" s="172" t="s">
        <v>587</v>
      </c>
      <c r="M233" s="171"/>
      <c r="N233" s="87" t="s">
        <v>149</v>
      </c>
      <c r="O233" s="87"/>
      <c r="P233" s="185"/>
      <c r="Q233" s="175">
        <v>8.85</v>
      </c>
      <c r="R233" s="78"/>
      <c r="S233" s="59">
        <f t="shared" si="252"/>
        <v>0.22125</v>
      </c>
      <c r="T233" s="176">
        <v>0.36</v>
      </c>
      <c r="U233" s="176">
        <v>0</v>
      </c>
      <c r="V233" s="61">
        <f t="shared" si="253"/>
        <v>8.49</v>
      </c>
      <c r="W233" s="62">
        <f>IF(RL&gt;0,IF(RL&gt;'Look Ups'!R$7,'Look Ups'!R$8,('Look Ups'!R$3*RL^3+'Look Ups'!R$4*RL^2+'Look Ups'!R$5*RL+'Look Ups'!R$6)),0)</f>
        <v>0.29533754161700004</v>
      </c>
      <c r="X233" s="177">
        <v>1501</v>
      </c>
      <c r="Y233" s="178"/>
      <c r="Z233" s="178"/>
      <c r="AA233" s="178"/>
      <c r="AB233" s="65">
        <f t="shared" si="254"/>
        <v>1501</v>
      </c>
      <c r="AC233" s="66">
        <f t="shared" si="255"/>
        <v>1501</v>
      </c>
      <c r="AD233" s="179" t="s">
        <v>129</v>
      </c>
      <c r="AE233" s="180" t="s">
        <v>130</v>
      </c>
      <c r="AF233" s="181" t="s">
        <v>131</v>
      </c>
      <c r="AG233" s="70">
        <f>IF(C233="",0,VLOOKUP(AD233,'Look Ups'!$B$3:$C$6,2,0)*VLOOKUP(AE233,'Look Ups'!$E$3:$F$5,2,0)*VLOOKUP(AF233,'Look Ups'!$H$3:$I$7,2,0))</f>
        <v>1</v>
      </c>
      <c r="AH233" s="80">
        <v>10.61</v>
      </c>
      <c r="AI233" s="77">
        <v>9.31</v>
      </c>
      <c r="AJ233" s="77">
        <v>3.07</v>
      </c>
      <c r="AK233" s="77">
        <v>1.25</v>
      </c>
      <c r="AL233" s="77">
        <v>0.66</v>
      </c>
      <c r="AM233" s="77">
        <v>10.58</v>
      </c>
      <c r="AN233" s="77">
        <v>0.1</v>
      </c>
      <c r="AO233" s="77">
        <v>3.1</v>
      </c>
      <c r="AP233" s="77">
        <v>0.06</v>
      </c>
      <c r="AQ233" s="77">
        <v>0.5</v>
      </c>
      <c r="AR233" s="77" t="s">
        <v>132</v>
      </c>
      <c r="AS233" s="87">
        <v>0</v>
      </c>
      <c r="AT233" s="59">
        <f t="shared" si="256"/>
        <v>10.64</v>
      </c>
      <c r="AU233" s="59">
        <f t="shared" si="257"/>
        <v>1.9837500000000001</v>
      </c>
      <c r="AV233" s="72">
        <f>IF(C233="",0,(0.5*(_ML1*LPM)+0.5*(_ML1*HB)+0.66*(P*PR)+0.66*(_ML2*RDM)+0.66*(E*ER))*VLOOKUP(BATT,'Look Ups'!$N$3:$O$4,2,0))</f>
        <v>27.794076</v>
      </c>
      <c r="AW233" s="182"/>
      <c r="AX233" s="183"/>
      <c r="AY233" s="80">
        <v>10.39</v>
      </c>
      <c r="AZ233" s="77">
        <v>2.74</v>
      </c>
      <c r="BA233" s="77">
        <v>3.02</v>
      </c>
      <c r="BB233" s="77">
        <v>1.4999999999999999E-2</v>
      </c>
      <c r="BC233" s="77">
        <v>9.6</v>
      </c>
      <c r="BD233" s="77"/>
      <c r="BE233" s="77"/>
      <c r="BF233" s="77">
        <v>1.7000000000000001E-2</v>
      </c>
      <c r="BG233" s="77">
        <v>-8.0000000000000002E-3</v>
      </c>
      <c r="BH233" s="87">
        <v>0</v>
      </c>
      <c r="BI233" s="72">
        <f t="shared" si="258"/>
        <v>14.317050800000001</v>
      </c>
      <c r="BJ233" s="76"/>
      <c r="BK233" s="77"/>
      <c r="BL233" s="78"/>
      <c r="BM233" s="78"/>
      <c r="BN233" s="77"/>
      <c r="BO233" s="78"/>
      <c r="BP233" s="78"/>
      <c r="BQ233" s="79">
        <f t="shared" si="259"/>
        <v>0</v>
      </c>
      <c r="BR233" s="80"/>
      <c r="BS233" s="77"/>
      <c r="BT233" s="77"/>
      <c r="BU233" s="77"/>
      <c r="BV233" s="77"/>
      <c r="BW233" s="77"/>
      <c r="BX233" s="77"/>
      <c r="BY233" s="72">
        <f t="shared" si="260"/>
        <v>0</v>
      </c>
      <c r="BZ233" s="182">
        <v>7.72</v>
      </c>
      <c r="CA233" s="77">
        <v>12.32</v>
      </c>
      <c r="CB233" s="77">
        <v>11.03</v>
      </c>
      <c r="CC233" s="77">
        <v>6</v>
      </c>
      <c r="CD233" s="65">
        <f t="shared" si="261"/>
        <v>77.720207253886002</v>
      </c>
      <c r="CE233" s="87">
        <v>0</v>
      </c>
      <c r="CF233" s="79">
        <f t="shared" si="262"/>
        <v>61.721833333333336</v>
      </c>
      <c r="CG233" s="80"/>
      <c r="CH233" s="77"/>
      <c r="CI233" s="77"/>
      <c r="CJ233" s="77"/>
      <c r="CK233" s="59" t="str">
        <f t="shared" si="278"/>
        <v/>
      </c>
      <c r="CL233" s="87">
        <v>0</v>
      </c>
      <c r="CM233" s="72">
        <f t="shared" si="263"/>
        <v>0</v>
      </c>
      <c r="CN233" s="81">
        <f t="shared" si="264"/>
        <v>1</v>
      </c>
      <c r="CO233" s="59">
        <f t="shared" si="265"/>
        <v>29.777826000000005</v>
      </c>
      <c r="CP233" s="59">
        <f t="shared" si="266"/>
        <v>1</v>
      </c>
      <c r="CQ233" s="59">
        <f t="shared" si="267"/>
        <v>14.317050800000001</v>
      </c>
      <c r="CR233" s="59">
        <f>IF(AV233&gt;0,'Look Ups'!$L$3,0)</f>
        <v>1</v>
      </c>
      <c r="CS233" s="59">
        <f t="shared" si="268"/>
        <v>0</v>
      </c>
      <c r="CT233" s="59">
        <f t="shared" si="279"/>
        <v>0</v>
      </c>
      <c r="CU233" s="59">
        <f t="shared" si="280"/>
        <v>0</v>
      </c>
      <c r="CV233" s="79">
        <f t="shared" si="281"/>
        <v>0</v>
      </c>
      <c r="CW233" s="82" t="str">
        <f t="shared" si="269"/>
        <v>-</v>
      </c>
      <c r="CX233" s="65" t="str">
        <f t="shared" si="270"/>
        <v>valid</v>
      </c>
      <c r="CY233" s="66" t="str">
        <f t="shared" si="284"/>
        <v>MGSp</v>
      </c>
      <c r="CZ233" s="81">
        <f t="shared" si="271"/>
        <v>44.094876800000009</v>
      </c>
      <c r="DA233" s="59">
        <f t="shared" si="272"/>
        <v>14.221434759999999</v>
      </c>
      <c r="DB233" s="59">
        <f t="shared" si="273"/>
        <v>0</v>
      </c>
      <c r="DC233" s="59">
        <f t="shared" si="274"/>
        <v>13.984410847333333</v>
      </c>
      <c r="DD233" s="59">
        <f t="shared" si="275"/>
        <v>0</v>
      </c>
      <c r="DE233" s="79">
        <f t="shared" si="276"/>
        <v>45.764640521600008</v>
      </c>
      <c r="DF233" s="83">
        <f t="shared" si="277"/>
        <v>58.31631156000001</v>
      </c>
    </row>
    <row r="234" spans="2:110" ht="16.5" customHeight="1" x14ac:dyDescent="0.25">
      <c r="B234" s="168"/>
      <c r="C234" s="168" t="s">
        <v>698</v>
      </c>
      <c r="D234" s="169" t="s">
        <v>699</v>
      </c>
      <c r="E234" s="170" t="s">
        <v>651</v>
      </c>
      <c r="F234" s="50">
        <f t="shared" si="244"/>
        <v>0.94532534363581977</v>
      </c>
      <c r="G234" s="50" t="str">
        <f t="shared" ca="1" si="282"/>
        <v>No</v>
      </c>
      <c r="H234" s="51" t="str">
        <f t="shared" si="283"/>
        <v>Main - Genoa - Spinnaker</v>
      </c>
      <c r="I234" s="171">
        <v>36703</v>
      </c>
      <c r="J234" s="171"/>
      <c r="K234" s="172" t="s">
        <v>299</v>
      </c>
      <c r="L234" s="172" t="s">
        <v>390</v>
      </c>
      <c r="M234" s="171"/>
      <c r="N234" s="173" t="s">
        <v>575</v>
      </c>
      <c r="O234" s="173"/>
      <c r="P234" s="186"/>
      <c r="Q234" s="175">
        <v>7.96</v>
      </c>
      <c r="R234" s="78"/>
      <c r="S234" s="59">
        <f t="shared" si="252"/>
        <v>0.19900000000000001</v>
      </c>
      <c r="T234" s="176">
        <v>7.0000000000000007E-2</v>
      </c>
      <c r="U234" s="176">
        <v>0</v>
      </c>
      <c r="V234" s="61">
        <f t="shared" si="253"/>
        <v>7.89</v>
      </c>
      <c r="W234" s="62">
        <f>IF(RL&gt;0,IF(RL&gt;'Look Ups'!R$7,'Look Ups'!R$8,('Look Ups'!R$3*RL^3+'Look Ups'!R$4*RL^2+'Look Ups'!R$5*RL+'Look Ups'!R$6)),0)</f>
        <v>0.29341063927700001</v>
      </c>
      <c r="X234" s="177">
        <v>865</v>
      </c>
      <c r="Y234" s="178"/>
      <c r="Z234" s="178"/>
      <c r="AA234" s="178"/>
      <c r="AB234" s="65">
        <f t="shared" si="254"/>
        <v>865</v>
      </c>
      <c r="AC234" s="66">
        <f t="shared" si="255"/>
        <v>865</v>
      </c>
      <c r="AD234" s="179" t="s">
        <v>129</v>
      </c>
      <c r="AE234" s="180" t="s">
        <v>130</v>
      </c>
      <c r="AF234" s="181" t="s">
        <v>131</v>
      </c>
      <c r="AG234" s="70">
        <f>IF(C234="",0,VLOOKUP(AD234,'Look Ups'!$B$3:$C$6,2,0)*VLOOKUP(AE234,'Look Ups'!$E$3:$F$5,2,0)*VLOOKUP(AF234,'Look Ups'!$H$3:$I$7,2,0))</f>
        <v>1</v>
      </c>
      <c r="AH234" s="80">
        <v>10.14</v>
      </c>
      <c r="AI234" s="77">
        <v>10.06</v>
      </c>
      <c r="AJ234" s="77">
        <v>3.04</v>
      </c>
      <c r="AK234" s="77">
        <v>0.14000000000000001</v>
      </c>
      <c r="AL234" s="77">
        <v>1.0900000000000001</v>
      </c>
      <c r="AM234" s="77">
        <v>9.8800000000000008</v>
      </c>
      <c r="AN234" s="77">
        <v>0.17</v>
      </c>
      <c r="AO234" s="77">
        <v>3.12</v>
      </c>
      <c r="AP234" s="77">
        <v>0.19</v>
      </c>
      <c r="AQ234" s="77">
        <v>0.49</v>
      </c>
      <c r="AR234" s="77" t="s">
        <v>132</v>
      </c>
      <c r="AS234" s="87">
        <v>0</v>
      </c>
      <c r="AT234" s="59">
        <f t="shared" si="256"/>
        <v>10.07</v>
      </c>
      <c r="AU234" s="59">
        <f t="shared" si="257"/>
        <v>1.81545</v>
      </c>
      <c r="AV234" s="72">
        <f>IF(C234="",0,(0.5*(_ML1*LPM)+0.5*(_ML1*HB)+0.66*(P*PR)+0.66*(_ML2*RDM)+0.66*(E*ER))*VLOOKUP(BATT,'Look Ups'!$N$3:$O$4,2,0))</f>
        <v>24.859548000000004</v>
      </c>
      <c r="AW234" s="182"/>
      <c r="AX234" s="183"/>
      <c r="AY234" s="80">
        <v>8.18</v>
      </c>
      <c r="AZ234" s="77">
        <v>3.52</v>
      </c>
      <c r="BA234" s="77">
        <v>4.01</v>
      </c>
      <c r="BB234" s="77">
        <v>0.2</v>
      </c>
      <c r="BC234" s="77">
        <v>7.28</v>
      </c>
      <c r="BD234" s="77"/>
      <c r="BE234" s="77"/>
      <c r="BF234" s="77">
        <v>-0.17</v>
      </c>
      <c r="BG234" s="77">
        <v>-0.11</v>
      </c>
      <c r="BH234" s="87"/>
      <c r="BI234" s="72">
        <f t="shared" si="258"/>
        <v>13.515435999999999</v>
      </c>
      <c r="BJ234" s="76"/>
      <c r="BK234" s="77"/>
      <c r="BL234" s="78"/>
      <c r="BM234" s="78"/>
      <c r="BN234" s="77"/>
      <c r="BO234" s="78"/>
      <c r="BP234" s="78"/>
      <c r="BQ234" s="79">
        <f t="shared" si="259"/>
        <v>0</v>
      </c>
      <c r="BR234" s="80"/>
      <c r="BS234" s="77"/>
      <c r="BT234" s="77"/>
      <c r="BU234" s="77"/>
      <c r="BV234" s="77"/>
      <c r="BW234" s="77"/>
      <c r="BX234" s="77"/>
      <c r="BY234" s="72">
        <f t="shared" si="260"/>
        <v>0</v>
      </c>
      <c r="BZ234" s="182">
        <v>6.41</v>
      </c>
      <c r="CA234" s="77">
        <v>11.42</v>
      </c>
      <c r="CB234" s="77">
        <v>12.23</v>
      </c>
      <c r="CC234" s="77">
        <v>6.68</v>
      </c>
      <c r="CD234" s="65">
        <f t="shared" si="261"/>
        <v>104.21216848673947</v>
      </c>
      <c r="CE234" s="77">
        <v>0</v>
      </c>
      <c r="CF234" s="79">
        <f t="shared" si="262"/>
        <v>65.293708333333328</v>
      </c>
      <c r="CG234" s="80"/>
      <c r="CH234" s="77"/>
      <c r="CI234" s="77"/>
      <c r="CJ234" s="77"/>
      <c r="CK234" s="59" t="str">
        <f t="shared" si="278"/>
        <v/>
      </c>
      <c r="CL234" s="77">
        <v>0</v>
      </c>
      <c r="CM234" s="72">
        <f t="shared" si="263"/>
        <v>0</v>
      </c>
      <c r="CN234" s="81">
        <f t="shared" si="264"/>
        <v>1</v>
      </c>
      <c r="CO234" s="59">
        <f t="shared" si="265"/>
        <v>26.674998000000002</v>
      </c>
      <c r="CP234" s="59">
        <f t="shared" si="266"/>
        <v>1</v>
      </c>
      <c r="CQ234" s="59">
        <f t="shared" si="267"/>
        <v>13.515435999999999</v>
      </c>
      <c r="CR234" s="59">
        <f>IF(AV234&gt;0,'Look Ups'!$L$3,0)</f>
        <v>1</v>
      </c>
      <c r="CS234" s="59">
        <f t="shared" si="268"/>
        <v>0</v>
      </c>
      <c r="CT234" s="59">
        <f t="shared" si="279"/>
        <v>0</v>
      </c>
      <c r="CU234" s="59">
        <f t="shared" si="280"/>
        <v>0</v>
      </c>
      <c r="CV234" s="79">
        <f t="shared" si="281"/>
        <v>0</v>
      </c>
      <c r="CW234" s="82" t="str">
        <f t="shared" si="269"/>
        <v>-</v>
      </c>
      <c r="CX234" s="65" t="str">
        <f t="shared" si="270"/>
        <v>valid</v>
      </c>
      <c r="CY234" s="66" t="str">
        <f t="shared" si="284"/>
        <v>MGSp</v>
      </c>
      <c r="CZ234" s="81">
        <f t="shared" si="271"/>
        <v>40.190434000000003</v>
      </c>
      <c r="DA234" s="59">
        <f t="shared" si="272"/>
        <v>15.533481699999998</v>
      </c>
      <c r="DB234" s="59">
        <f t="shared" si="273"/>
        <v>0</v>
      </c>
      <c r="DC234" s="59">
        <f t="shared" si="274"/>
        <v>15.274590338333331</v>
      </c>
      <c r="DD234" s="59">
        <f t="shared" si="275"/>
        <v>0</v>
      </c>
      <c r="DE234" s="79">
        <f t="shared" si="276"/>
        <v>41.611666696</v>
      </c>
      <c r="DF234" s="83">
        <f t="shared" si="277"/>
        <v>55.723915699999999</v>
      </c>
    </row>
    <row r="235" spans="2:110" ht="16.5" customHeight="1" x14ac:dyDescent="0.25">
      <c r="B235" s="168"/>
      <c r="C235" s="47" t="s">
        <v>365</v>
      </c>
      <c r="D235" s="84" t="s">
        <v>366</v>
      </c>
      <c r="E235" s="49" t="s">
        <v>367</v>
      </c>
      <c r="F235" s="50">
        <f t="shared" si="244"/>
        <v>0.86155679248180095</v>
      </c>
      <c r="G235" s="50" t="str">
        <f t="shared" ca="1" si="282"/>
        <v>No</v>
      </c>
      <c r="H235" s="51" t="str">
        <f t="shared" si="283"/>
        <v>Main - Genoa - Spinnaker</v>
      </c>
      <c r="I235" s="52">
        <v>39039</v>
      </c>
      <c r="J235" s="52">
        <v>39039</v>
      </c>
      <c r="K235" s="53" t="s">
        <v>179</v>
      </c>
      <c r="L235" s="53" t="s">
        <v>179</v>
      </c>
      <c r="M235" s="54"/>
      <c r="N235" s="75" t="s">
        <v>127</v>
      </c>
      <c r="O235" s="75" t="s">
        <v>128</v>
      </c>
      <c r="P235" s="85"/>
      <c r="Q235" s="57">
        <v>8.1999999999999993</v>
      </c>
      <c r="R235" s="58"/>
      <c r="S235" s="59">
        <f t="shared" si="252"/>
        <v>0.20499999999999999</v>
      </c>
      <c r="T235" s="60">
        <v>1.3000000000000001E-2</v>
      </c>
      <c r="U235" s="60">
        <v>0</v>
      </c>
      <c r="V235" s="61">
        <f t="shared" si="253"/>
        <v>8.1869999999999994</v>
      </c>
      <c r="W235" s="62">
        <f>IF(RL&gt;0,IF(RL&gt;'Look Ups'!R$7,'Look Ups'!R$8,('Look Ups'!R$3*RL^3+'Look Ups'!R$4*RL^2+'Look Ups'!R$5*RL+'Look Ups'!R$6)),0)</f>
        <v>0.29441748664169903</v>
      </c>
      <c r="X235" s="63">
        <v>1130</v>
      </c>
      <c r="Y235" s="64"/>
      <c r="Z235" s="64"/>
      <c r="AA235" s="64"/>
      <c r="AB235" s="65">
        <f t="shared" si="254"/>
        <v>1130</v>
      </c>
      <c r="AC235" s="66">
        <f t="shared" si="255"/>
        <v>1130</v>
      </c>
      <c r="AD235" s="67" t="s">
        <v>129</v>
      </c>
      <c r="AE235" s="68" t="s">
        <v>130</v>
      </c>
      <c r="AF235" s="69" t="s">
        <v>131</v>
      </c>
      <c r="AG235" s="70">
        <f>IF(C235="",0,VLOOKUP(AD235,'Look Ups'!$B$3:$C$6,2,0)*VLOOKUP(AE235,'Look Ups'!$E$3:$F$5,2,0)*VLOOKUP(AF235,'Look Ups'!$H$3:$I$7,2,0))</f>
        <v>1</v>
      </c>
      <c r="AH235" s="71">
        <v>10.54</v>
      </c>
      <c r="AI235" s="60">
        <v>10.29</v>
      </c>
      <c r="AJ235" s="60">
        <v>3.23</v>
      </c>
      <c r="AK235" s="60">
        <v>0.66</v>
      </c>
      <c r="AL235" s="60">
        <v>0.60000000000000009</v>
      </c>
      <c r="AM235" s="60">
        <v>10.45</v>
      </c>
      <c r="AN235" s="60">
        <v>0.16500000000000001</v>
      </c>
      <c r="AO235" s="60">
        <v>3.28</v>
      </c>
      <c r="AP235" s="60">
        <v>0</v>
      </c>
      <c r="AQ235" s="60">
        <v>0.46</v>
      </c>
      <c r="AR235" s="60" t="s">
        <v>132</v>
      </c>
      <c r="AS235" s="75">
        <v>0</v>
      </c>
      <c r="AT235" s="59">
        <f t="shared" si="256"/>
        <v>10.45</v>
      </c>
      <c r="AU235" s="59">
        <f t="shared" si="257"/>
        <v>1.8026249999999999</v>
      </c>
      <c r="AV235" s="72">
        <f>IF(C235="",0,(0.5*(_ML1*LPM)+0.5*(_ML1*HB)+0.66*(P*PR)+0.66*(_ML2*RDM)+0.66*(E*ER))*VLOOKUP(BATT,'Look Ups'!$N$3:$O$4,2,0))</f>
        <v>25.713144999999997</v>
      </c>
      <c r="AW235" s="73"/>
      <c r="AX235" s="74"/>
      <c r="AY235" s="71">
        <v>8.6999999999999993</v>
      </c>
      <c r="AZ235" s="60">
        <v>2.64</v>
      </c>
      <c r="BA235" s="60">
        <v>3</v>
      </c>
      <c r="BB235" s="60">
        <v>0.17</v>
      </c>
      <c r="BC235" s="60">
        <v>7.7</v>
      </c>
      <c r="BD235" s="60"/>
      <c r="BE235" s="60"/>
      <c r="BF235" s="60">
        <v>-0.03</v>
      </c>
      <c r="BG235" s="60">
        <v>-0.01</v>
      </c>
      <c r="BH235" s="75">
        <v>0</v>
      </c>
      <c r="BI235" s="72">
        <f t="shared" si="258"/>
        <v>11.610720000000001</v>
      </c>
      <c r="BJ235" s="76"/>
      <c r="BK235" s="77"/>
      <c r="BL235" s="78"/>
      <c r="BM235" s="78"/>
      <c r="BN235" s="77"/>
      <c r="BO235" s="78"/>
      <c r="BP235" s="78"/>
      <c r="BQ235" s="79">
        <f t="shared" si="259"/>
        <v>0</v>
      </c>
      <c r="BR235" s="80"/>
      <c r="BS235" s="77"/>
      <c r="BT235" s="77"/>
      <c r="BU235" s="77"/>
      <c r="BV235" s="77"/>
      <c r="BW235" s="77"/>
      <c r="BX235" s="77"/>
      <c r="BY235" s="72">
        <f t="shared" si="260"/>
        <v>0</v>
      </c>
      <c r="BZ235" s="73">
        <v>8.15</v>
      </c>
      <c r="CA235" s="60">
        <v>11.93</v>
      </c>
      <c r="CB235" s="60">
        <v>9.43</v>
      </c>
      <c r="CC235" s="60">
        <v>6.16</v>
      </c>
      <c r="CD235" s="65">
        <f t="shared" si="261"/>
        <v>75.582822085889561</v>
      </c>
      <c r="CE235" s="75">
        <v>0</v>
      </c>
      <c r="CF235" s="79">
        <f t="shared" si="262"/>
        <v>58.366199999999999</v>
      </c>
      <c r="CG235" s="71"/>
      <c r="CH235" s="60"/>
      <c r="CI235" s="60"/>
      <c r="CJ235" s="60"/>
      <c r="CK235" s="59" t="str">
        <f t="shared" si="278"/>
        <v/>
      </c>
      <c r="CL235" s="75">
        <v>0</v>
      </c>
      <c r="CM235" s="72">
        <f t="shared" si="263"/>
        <v>0</v>
      </c>
      <c r="CN235" s="81">
        <f t="shared" si="264"/>
        <v>1</v>
      </c>
      <c r="CO235" s="59">
        <f t="shared" si="265"/>
        <v>27.515769999999996</v>
      </c>
      <c r="CP235" s="59">
        <f t="shared" si="266"/>
        <v>1</v>
      </c>
      <c r="CQ235" s="59">
        <f t="shared" si="267"/>
        <v>11.610720000000001</v>
      </c>
      <c r="CR235" s="59">
        <f>IF(AV235&gt;0,'Look Ups'!$L$3,0)</f>
        <v>1</v>
      </c>
      <c r="CS235" s="59">
        <f t="shared" si="268"/>
        <v>0</v>
      </c>
      <c r="CT235" s="59">
        <f t="shared" si="279"/>
        <v>0</v>
      </c>
      <c r="CU235" s="59">
        <f t="shared" si="280"/>
        <v>0</v>
      </c>
      <c r="CV235" s="79">
        <f t="shared" si="281"/>
        <v>0</v>
      </c>
      <c r="CW235" s="82" t="str">
        <f t="shared" si="269"/>
        <v>-</v>
      </c>
      <c r="CX235" s="65" t="str">
        <f t="shared" si="270"/>
        <v>valid</v>
      </c>
      <c r="CY235" s="66" t="str">
        <f t="shared" si="284"/>
        <v>MGSp</v>
      </c>
      <c r="CZ235" s="81">
        <f t="shared" si="271"/>
        <v>39.126489999999997</v>
      </c>
      <c r="DA235" s="59">
        <f t="shared" si="272"/>
        <v>14.026643999999999</v>
      </c>
      <c r="DB235" s="59">
        <f t="shared" si="273"/>
        <v>0</v>
      </c>
      <c r="DC235" s="59">
        <f t="shared" si="274"/>
        <v>13.792866599999998</v>
      </c>
      <c r="DD235" s="59">
        <f t="shared" si="275"/>
        <v>0</v>
      </c>
      <c r="DE235" s="79">
        <f t="shared" si="276"/>
        <v>40.844235399999995</v>
      </c>
      <c r="DF235" s="83">
        <f t="shared" si="277"/>
        <v>53.153133999999994</v>
      </c>
    </row>
    <row r="236" spans="2:110" ht="16.5" customHeight="1" x14ac:dyDescent="0.25">
      <c r="B236" s="47"/>
      <c r="C236" s="168" t="s">
        <v>700</v>
      </c>
      <c r="D236" s="169" t="s">
        <v>246</v>
      </c>
      <c r="E236" s="170" t="s">
        <v>701</v>
      </c>
      <c r="F236" s="50">
        <f t="shared" si="244"/>
        <v>0.82152761344148628</v>
      </c>
      <c r="G236" s="50" t="str">
        <f t="shared" ca="1" si="282"/>
        <v>No</v>
      </c>
      <c r="H236" s="51" t="str">
        <f t="shared" si="283"/>
        <v>Main - Genoa - Spinnaker</v>
      </c>
      <c r="I236" s="171">
        <v>38290</v>
      </c>
      <c r="J236" s="171"/>
      <c r="K236" s="172" t="s">
        <v>702</v>
      </c>
      <c r="L236" s="172" t="s">
        <v>387</v>
      </c>
      <c r="M236" s="171"/>
      <c r="N236" s="87" t="s">
        <v>537</v>
      </c>
      <c r="O236" s="87"/>
      <c r="P236" s="186">
        <v>6.1</v>
      </c>
      <c r="Q236" s="175">
        <v>8.74</v>
      </c>
      <c r="R236" s="78"/>
      <c r="S236" s="59">
        <f t="shared" si="252"/>
        <v>0.21850000000000003</v>
      </c>
      <c r="T236" s="176">
        <v>0.23</v>
      </c>
      <c r="U236" s="176">
        <v>0</v>
      </c>
      <c r="V236" s="61">
        <f t="shared" si="253"/>
        <v>8.51</v>
      </c>
      <c r="W236" s="62">
        <f>IF(RL&gt;0,IF(RL&gt;'Look Ups'!R$7,'Look Ups'!R$8,('Look Ups'!R$3*RL^3+'Look Ups'!R$4*RL^2+'Look Ups'!R$5*RL+'Look Ups'!R$6)),0)</f>
        <v>0.29539459668300005</v>
      </c>
      <c r="X236" s="177">
        <v>1665</v>
      </c>
      <c r="Y236" s="178"/>
      <c r="Z236" s="178"/>
      <c r="AA236" s="178"/>
      <c r="AB236" s="65">
        <f t="shared" si="254"/>
        <v>1665</v>
      </c>
      <c r="AC236" s="66">
        <f t="shared" si="255"/>
        <v>1665</v>
      </c>
      <c r="AD236" s="179" t="s">
        <v>129</v>
      </c>
      <c r="AE236" s="180" t="s">
        <v>130</v>
      </c>
      <c r="AF236" s="181" t="s">
        <v>131</v>
      </c>
      <c r="AG236" s="70">
        <f>IF(C236="",0,VLOOKUP(AD236,'Look Ups'!$B$3:$C$6,2,0)*VLOOKUP(AE236,'Look Ups'!$E$3:$F$5,2,0)*VLOOKUP(AF236,'Look Ups'!$H$3:$I$7,2,0))</f>
        <v>1</v>
      </c>
      <c r="AH236" s="80">
        <v>10.6</v>
      </c>
      <c r="AI236" s="77">
        <v>10.3</v>
      </c>
      <c r="AJ236" s="77">
        <v>3.53</v>
      </c>
      <c r="AK236" s="77">
        <v>0.83</v>
      </c>
      <c r="AL236" s="77">
        <v>0.74</v>
      </c>
      <c r="AM236" s="77">
        <v>10.27</v>
      </c>
      <c r="AN236" s="77">
        <v>0.12</v>
      </c>
      <c r="AO236" s="77">
        <v>3.68</v>
      </c>
      <c r="AP236" s="77">
        <v>0.05</v>
      </c>
      <c r="AQ236" s="77">
        <v>0.45</v>
      </c>
      <c r="AR236" s="77" t="s">
        <v>132</v>
      </c>
      <c r="AS236" s="87">
        <v>0</v>
      </c>
      <c r="AT236" s="59">
        <f t="shared" si="256"/>
        <v>10.32</v>
      </c>
      <c r="AU236" s="59">
        <f t="shared" si="257"/>
        <v>1.7330625</v>
      </c>
      <c r="AV236" s="72">
        <f>IF(C236="",0,(0.5*(_ML1*LPM)+0.5*(_ML1*HB)+0.66*(P*PR)+0.66*(_ML2*RDM)+0.66*(E*ER))*VLOOKUP(BATT,'Look Ups'!$N$3:$O$4,2,0))</f>
        <v>29.073343999999999</v>
      </c>
      <c r="AW236" s="182"/>
      <c r="AX236" s="183"/>
      <c r="AY236" s="80">
        <v>9.15</v>
      </c>
      <c r="AZ236" s="77">
        <v>3.38</v>
      </c>
      <c r="BA236" s="77">
        <v>3.76</v>
      </c>
      <c r="BB236" s="77">
        <v>0.06</v>
      </c>
      <c r="BC236" s="77">
        <v>8.2100000000000009</v>
      </c>
      <c r="BD236" s="77"/>
      <c r="BE236" s="77"/>
      <c r="BF236" s="77">
        <v>-0.05</v>
      </c>
      <c r="BG236" s="77">
        <v>0</v>
      </c>
      <c r="BH236" s="87"/>
      <c r="BI236" s="72">
        <f t="shared" si="258"/>
        <v>15.341466</v>
      </c>
      <c r="BJ236" s="76"/>
      <c r="BK236" s="77"/>
      <c r="BL236" s="78"/>
      <c r="BM236" s="78"/>
      <c r="BN236" s="77"/>
      <c r="BO236" s="78"/>
      <c r="BP236" s="78"/>
      <c r="BQ236" s="79">
        <f t="shared" si="259"/>
        <v>0</v>
      </c>
      <c r="BR236" s="80"/>
      <c r="BS236" s="77"/>
      <c r="BT236" s="77"/>
      <c r="BU236" s="77"/>
      <c r="BV236" s="77"/>
      <c r="BW236" s="77"/>
      <c r="BX236" s="77"/>
      <c r="BY236" s="72">
        <f t="shared" si="260"/>
        <v>0</v>
      </c>
      <c r="BZ236" s="182">
        <v>8.32</v>
      </c>
      <c r="CA236" s="77">
        <v>12.26</v>
      </c>
      <c r="CB236" s="77">
        <v>10.94</v>
      </c>
      <c r="CC236" s="77">
        <v>6.96</v>
      </c>
      <c r="CD236" s="65">
        <f t="shared" si="261"/>
        <v>83.653846153846146</v>
      </c>
      <c r="CE236" s="77">
        <v>0</v>
      </c>
      <c r="CF236" s="79">
        <f t="shared" si="262"/>
        <v>69.909333333333336</v>
      </c>
      <c r="CG236" s="80"/>
      <c r="CH236" s="77"/>
      <c r="CI236" s="77"/>
      <c r="CJ236" s="77"/>
      <c r="CK236" s="59" t="str">
        <f t="shared" si="278"/>
        <v/>
      </c>
      <c r="CL236" s="77">
        <v>0</v>
      </c>
      <c r="CM236" s="72">
        <f t="shared" si="263"/>
        <v>0</v>
      </c>
      <c r="CN236" s="81">
        <f t="shared" si="264"/>
        <v>1</v>
      </c>
      <c r="CO236" s="59">
        <f t="shared" si="265"/>
        <v>30.806406499999998</v>
      </c>
      <c r="CP236" s="59">
        <f t="shared" si="266"/>
        <v>1</v>
      </c>
      <c r="CQ236" s="59">
        <f t="shared" si="267"/>
        <v>15.341466</v>
      </c>
      <c r="CR236" s="59">
        <f>IF(AV236&gt;0,'Look Ups'!$L$3,0)</f>
        <v>1</v>
      </c>
      <c r="CS236" s="59">
        <f t="shared" si="268"/>
        <v>0</v>
      </c>
      <c r="CT236" s="59">
        <f t="shared" si="279"/>
        <v>0</v>
      </c>
      <c r="CU236" s="59">
        <f t="shared" si="280"/>
        <v>0</v>
      </c>
      <c r="CV236" s="79">
        <f t="shared" si="281"/>
        <v>0</v>
      </c>
      <c r="CW236" s="82" t="str">
        <f t="shared" si="269"/>
        <v>-</v>
      </c>
      <c r="CX236" s="65" t="str">
        <f t="shared" si="270"/>
        <v>valid</v>
      </c>
      <c r="CY236" s="66" t="str">
        <f t="shared" si="284"/>
        <v>MGSp</v>
      </c>
      <c r="CZ236" s="81">
        <f t="shared" si="271"/>
        <v>46.147872499999998</v>
      </c>
      <c r="DA236" s="59">
        <f t="shared" si="272"/>
        <v>16.3703602</v>
      </c>
      <c r="DB236" s="59">
        <f t="shared" si="273"/>
        <v>0</v>
      </c>
      <c r="DC236" s="59">
        <f t="shared" si="274"/>
        <v>16.097520863333333</v>
      </c>
      <c r="DD236" s="59">
        <f t="shared" si="275"/>
        <v>0</v>
      </c>
      <c r="DE236" s="79">
        <f t="shared" si="276"/>
        <v>47.818086074</v>
      </c>
      <c r="DF236" s="83">
        <f t="shared" si="277"/>
        <v>62.518232699999999</v>
      </c>
    </row>
    <row r="237" spans="2:110" ht="16.5" customHeight="1" x14ac:dyDescent="0.25">
      <c r="B237" s="168"/>
      <c r="C237" s="47" t="s">
        <v>368</v>
      </c>
      <c r="D237" s="48" t="s">
        <v>369</v>
      </c>
      <c r="E237" s="49" t="s">
        <v>866</v>
      </c>
      <c r="F237" s="50">
        <f t="shared" si="244"/>
        <v>0.93735611809924968</v>
      </c>
      <c r="G237" s="50" t="str">
        <f t="shared" ca="1" si="282"/>
        <v>No</v>
      </c>
      <c r="H237" s="51" t="str">
        <f t="shared" si="283"/>
        <v>Main - Genoa - Screacher - Spinnaker</v>
      </c>
      <c r="I237" s="52">
        <v>39970</v>
      </c>
      <c r="J237" s="52">
        <v>39979</v>
      </c>
      <c r="K237" s="53" t="s">
        <v>349</v>
      </c>
      <c r="L237" s="53" t="s">
        <v>143</v>
      </c>
      <c r="M237" s="54"/>
      <c r="N237" s="75" t="s">
        <v>127</v>
      </c>
      <c r="O237" s="75" t="s">
        <v>128</v>
      </c>
      <c r="P237" s="56"/>
      <c r="Q237" s="57">
        <v>10.1</v>
      </c>
      <c r="R237" s="58"/>
      <c r="S237" s="59">
        <f t="shared" si="252"/>
        <v>0.2525</v>
      </c>
      <c r="T237" s="60">
        <v>0</v>
      </c>
      <c r="U237" s="60">
        <v>0</v>
      </c>
      <c r="V237" s="61">
        <f t="shared" si="253"/>
        <v>10.1</v>
      </c>
      <c r="W237" s="62">
        <f>IF(RL&gt;0,IF(RL&gt;'Look Ups'!R$7,'Look Ups'!R$8,('Look Ups'!R$3*RL^3+'Look Ups'!R$4*RL^2+'Look Ups'!R$5*RL+'Look Ups'!R$6)),0)</f>
        <v>0.29863593300000002</v>
      </c>
      <c r="X237" s="63">
        <v>2034</v>
      </c>
      <c r="Y237" s="64"/>
      <c r="Z237" s="64"/>
      <c r="AA237" s="64"/>
      <c r="AB237" s="65">
        <f t="shared" si="254"/>
        <v>2034</v>
      </c>
      <c r="AC237" s="66">
        <f t="shared" si="255"/>
        <v>2034</v>
      </c>
      <c r="AD237" s="67" t="s">
        <v>129</v>
      </c>
      <c r="AE237" s="68" t="s">
        <v>130</v>
      </c>
      <c r="AF237" s="69" t="s">
        <v>131</v>
      </c>
      <c r="AG237" s="70">
        <f>IF(C237="",0,VLOOKUP(AD237,'Look Ups'!$B$3:$C$6,2,0)*VLOOKUP(AE237,'Look Ups'!$E$3:$F$5,2,0)*VLOOKUP(AF237,'Look Ups'!$H$3:$I$7,2,0))</f>
        <v>1</v>
      </c>
      <c r="AH237" s="71">
        <v>13.44</v>
      </c>
      <c r="AI237" s="60">
        <v>13.12</v>
      </c>
      <c r="AJ237" s="60">
        <v>4.1180000000000003</v>
      </c>
      <c r="AK237" s="60">
        <v>1.45</v>
      </c>
      <c r="AL237" s="60">
        <v>0.63</v>
      </c>
      <c r="AM237" s="60">
        <v>12.8</v>
      </c>
      <c r="AN237" s="60">
        <v>0.13</v>
      </c>
      <c r="AO237" s="60">
        <v>4.33</v>
      </c>
      <c r="AP237" s="60">
        <v>0</v>
      </c>
      <c r="AQ237" s="60"/>
      <c r="AR237" s="60" t="s">
        <v>132</v>
      </c>
      <c r="AS237" s="75"/>
      <c r="AT237" s="59">
        <f t="shared" si="256"/>
        <v>12.8</v>
      </c>
      <c r="AU237" s="59">
        <f t="shared" si="257"/>
        <v>0</v>
      </c>
      <c r="AV237" s="72">
        <f>IF(C237="",0,(0.5*(_ML1*LPM)+0.5*(_ML1*HB)+0.66*(P*PR)+0.66*(_ML2*RDM)+0.66*(E*ER))*VLOOKUP(BATT,'Look Ups'!$N$3:$O$4,2,0))</f>
        <v>43.970495999999997</v>
      </c>
      <c r="AW237" s="73"/>
      <c r="AX237" s="74"/>
      <c r="AY237" s="71">
        <v>11.4</v>
      </c>
      <c r="AZ237" s="60">
        <v>3.72</v>
      </c>
      <c r="BA237" s="60">
        <v>4.2699999999999996</v>
      </c>
      <c r="BB237" s="60">
        <v>0.12</v>
      </c>
      <c r="BC237" s="60">
        <v>10.1</v>
      </c>
      <c r="BD237" s="60"/>
      <c r="BE237" s="60"/>
      <c r="BF237" s="60">
        <v>0</v>
      </c>
      <c r="BG237" s="60">
        <v>0</v>
      </c>
      <c r="BH237" s="75"/>
      <c r="BI237" s="72">
        <f t="shared" si="258"/>
        <v>21.542183999999999</v>
      </c>
      <c r="BJ237" s="76"/>
      <c r="BK237" s="77"/>
      <c r="BL237" s="78"/>
      <c r="BM237" s="78"/>
      <c r="BN237" s="77"/>
      <c r="BO237" s="78"/>
      <c r="BP237" s="78"/>
      <c r="BQ237" s="79">
        <f t="shared" si="259"/>
        <v>0</v>
      </c>
      <c r="BR237" s="80"/>
      <c r="BS237" s="77"/>
      <c r="BT237" s="77"/>
      <c r="BU237" s="77"/>
      <c r="BV237" s="77"/>
      <c r="BW237" s="77"/>
      <c r="BX237" s="77"/>
      <c r="BY237" s="72">
        <f t="shared" si="260"/>
        <v>0</v>
      </c>
      <c r="BZ237" s="73">
        <v>9.64</v>
      </c>
      <c r="CA237" s="60">
        <v>14.61</v>
      </c>
      <c r="CB237" s="60">
        <v>13.1</v>
      </c>
      <c r="CC237" s="60">
        <v>7.84</v>
      </c>
      <c r="CD237" s="65">
        <f t="shared" si="261"/>
        <v>81.327800829875514</v>
      </c>
      <c r="CE237" s="60"/>
      <c r="CF237" s="79">
        <f t="shared" si="262"/>
        <v>94.675833333333344</v>
      </c>
      <c r="CG237" s="71">
        <v>7.72</v>
      </c>
      <c r="CH237" s="60">
        <v>12.7</v>
      </c>
      <c r="CI237" s="60">
        <v>11.28</v>
      </c>
      <c r="CJ237" s="60">
        <v>3.9</v>
      </c>
      <c r="CK237" s="59">
        <f t="shared" si="278"/>
        <v>50.518134715025909</v>
      </c>
      <c r="CL237" s="60"/>
      <c r="CM237" s="72">
        <f t="shared" si="263"/>
        <v>46.601133333333323</v>
      </c>
      <c r="CN237" s="81">
        <f t="shared" si="264"/>
        <v>1</v>
      </c>
      <c r="CO237" s="59">
        <f t="shared" si="265"/>
        <v>43.970495999999997</v>
      </c>
      <c r="CP237" s="59">
        <f t="shared" si="266"/>
        <v>1</v>
      </c>
      <c r="CQ237" s="59">
        <f t="shared" si="267"/>
        <v>21.542183999999999</v>
      </c>
      <c r="CR237" s="59">
        <f>IF(AV237&gt;0,'Look Ups'!$L$3,0)</f>
        <v>1</v>
      </c>
      <c r="CS237" s="59">
        <f t="shared" si="268"/>
        <v>0</v>
      </c>
      <c r="CT237" s="59">
        <f t="shared" si="279"/>
        <v>0</v>
      </c>
      <c r="CU237" s="59">
        <f t="shared" si="280"/>
        <v>0</v>
      </c>
      <c r="CV237" s="79">
        <f t="shared" si="281"/>
        <v>0</v>
      </c>
      <c r="CW237" s="82" t="str">
        <f t="shared" si="269"/>
        <v>valid</v>
      </c>
      <c r="CX237" s="65" t="str">
        <f t="shared" si="270"/>
        <v>valid</v>
      </c>
      <c r="CY237" s="66" t="str">
        <f t="shared" si="284"/>
        <v>MGScrSp</v>
      </c>
      <c r="CZ237" s="81">
        <f t="shared" si="271"/>
        <v>65.512679999999989</v>
      </c>
      <c r="DA237" s="59">
        <f t="shared" si="272"/>
        <v>21.940094800000004</v>
      </c>
      <c r="DB237" s="59">
        <f t="shared" si="273"/>
        <v>8.770632266666663</v>
      </c>
      <c r="DC237" s="59">
        <f t="shared" si="274"/>
        <v>21.574426553333339</v>
      </c>
      <c r="DD237" s="59">
        <f t="shared" si="275"/>
        <v>1.3782422133333327</v>
      </c>
      <c r="DE237" s="79">
        <f t="shared" si="276"/>
        <v>67.934937695999992</v>
      </c>
      <c r="DF237" s="83">
        <f t="shared" si="277"/>
        <v>88.465348766666665</v>
      </c>
    </row>
    <row r="238" spans="2:110" ht="16.5" customHeight="1" x14ac:dyDescent="0.25">
      <c r="B238" s="47"/>
      <c r="C238" s="168" t="s">
        <v>703</v>
      </c>
      <c r="D238" s="184"/>
      <c r="E238" s="170" t="s">
        <v>704</v>
      </c>
      <c r="F238" s="50">
        <f t="shared" si="244"/>
        <v>1.0213437738229862</v>
      </c>
      <c r="G238" s="50" t="str">
        <f t="shared" ca="1" si="282"/>
        <v>No</v>
      </c>
      <c r="H238" s="51" t="str">
        <f t="shared" si="283"/>
        <v>Main - Genoa - Spinnaker</v>
      </c>
      <c r="I238" s="171">
        <v>39334</v>
      </c>
      <c r="J238" s="171">
        <v>40035</v>
      </c>
      <c r="K238" s="172" t="s">
        <v>705</v>
      </c>
      <c r="L238" s="172" t="s">
        <v>143</v>
      </c>
      <c r="M238" s="171"/>
      <c r="N238" s="87" t="s">
        <v>149</v>
      </c>
      <c r="O238" s="87"/>
      <c r="P238" s="185"/>
      <c r="Q238" s="175">
        <v>10</v>
      </c>
      <c r="R238" s="78"/>
      <c r="S238" s="59">
        <f t="shared" si="252"/>
        <v>0.25</v>
      </c>
      <c r="T238" s="176">
        <v>0.05</v>
      </c>
      <c r="U238" s="176">
        <v>0</v>
      </c>
      <c r="V238" s="61">
        <f t="shared" si="253"/>
        <v>9.9499999999999993</v>
      </c>
      <c r="W238" s="62">
        <f>IF(RL&gt;0,IF(RL&gt;'Look Ups'!R$7,'Look Ups'!R$8,('Look Ups'!R$3*RL^3+'Look Ups'!R$4*RL^2+'Look Ups'!R$5*RL+'Look Ups'!R$6)),0)</f>
        <v>0.29842897087500003</v>
      </c>
      <c r="X238" s="177">
        <v>1670</v>
      </c>
      <c r="Y238" s="178"/>
      <c r="Z238" s="178"/>
      <c r="AA238" s="178"/>
      <c r="AB238" s="65">
        <f t="shared" si="254"/>
        <v>1670</v>
      </c>
      <c r="AC238" s="66">
        <f t="shared" si="255"/>
        <v>1670</v>
      </c>
      <c r="AD238" s="179" t="s">
        <v>129</v>
      </c>
      <c r="AE238" s="180" t="s">
        <v>130</v>
      </c>
      <c r="AF238" s="181" t="s">
        <v>131</v>
      </c>
      <c r="AG238" s="70">
        <f>IF(C238="",0,VLOOKUP(AD238,'Look Ups'!$B$3:$C$6,2,0)*VLOOKUP(AE238,'Look Ups'!$E$3:$F$5,2,0)*VLOOKUP(AF238,'Look Ups'!$H$3:$I$7,2,0))</f>
        <v>1</v>
      </c>
      <c r="AH238" s="80">
        <v>13.52</v>
      </c>
      <c r="AI238" s="77">
        <v>13.16</v>
      </c>
      <c r="AJ238" s="77">
        <v>3.97</v>
      </c>
      <c r="AK238" s="77">
        <v>1.56</v>
      </c>
      <c r="AL238" s="77">
        <v>0.57999999999999996</v>
      </c>
      <c r="AM238" s="77">
        <v>13.36</v>
      </c>
      <c r="AN238" s="77">
        <v>0.28000000000000003</v>
      </c>
      <c r="AO238" s="77">
        <v>4.08</v>
      </c>
      <c r="AP238" s="77">
        <v>0.04</v>
      </c>
      <c r="AQ238" s="77">
        <v>0.55000000000000004</v>
      </c>
      <c r="AR238" s="77" t="s">
        <v>132</v>
      </c>
      <c r="AS238" s="87">
        <v>0</v>
      </c>
      <c r="AT238" s="59">
        <f t="shared" si="256"/>
        <v>13.399999999999999</v>
      </c>
      <c r="AU238" s="59">
        <f t="shared" si="257"/>
        <v>2.7555000000000001</v>
      </c>
      <c r="AV238" s="72">
        <f>IF(C238="",0,(0.5*(_ML1*LPM)+0.5*(_ML1*HB)+0.66*(P*PR)+0.66*(_ML2*RDM)+0.66*(E*ER))*VLOOKUP(BATT,'Look Ups'!$N$3:$O$4,2,0))</f>
        <v>44.997087999999998</v>
      </c>
      <c r="AW238" s="182"/>
      <c r="AX238" s="183"/>
      <c r="AY238" s="80">
        <v>12.22</v>
      </c>
      <c r="AZ238" s="77">
        <v>3.66</v>
      </c>
      <c r="BA238" s="77">
        <v>4.04</v>
      </c>
      <c r="BB238" s="77">
        <v>0.15</v>
      </c>
      <c r="BC238" s="77">
        <v>11.04</v>
      </c>
      <c r="BD238" s="77"/>
      <c r="BE238" s="77"/>
      <c r="BF238" s="77">
        <v>0.22</v>
      </c>
      <c r="BG238" s="77">
        <v>0.02</v>
      </c>
      <c r="BH238" s="87">
        <v>0</v>
      </c>
      <c r="BI238" s="72">
        <f t="shared" si="258"/>
        <v>24.526872000000001</v>
      </c>
      <c r="BJ238" s="76"/>
      <c r="BK238" s="77"/>
      <c r="BL238" s="78"/>
      <c r="BM238" s="78"/>
      <c r="BN238" s="77"/>
      <c r="BO238" s="78"/>
      <c r="BP238" s="78"/>
      <c r="BQ238" s="79">
        <f t="shared" si="259"/>
        <v>0</v>
      </c>
      <c r="BR238" s="80"/>
      <c r="BS238" s="77"/>
      <c r="BT238" s="77"/>
      <c r="BU238" s="77"/>
      <c r="BV238" s="77"/>
      <c r="BW238" s="77"/>
      <c r="BX238" s="77"/>
      <c r="BY238" s="72">
        <f t="shared" si="260"/>
        <v>0</v>
      </c>
      <c r="BZ238" s="182">
        <v>9.1999999999999993</v>
      </c>
      <c r="CA238" s="77">
        <v>14.6</v>
      </c>
      <c r="CB238" s="77">
        <v>12.95</v>
      </c>
      <c r="CC238" s="77">
        <v>8.4600000000000009</v>
      </c>
      <c r="CD238" s="65">
        <f t="shared" si="261"/>
        <v>91.956521739130451</v>
      </c>
      <c r="CE238" s="87">
        <v>0</v>
      </c>
      <c r="CF238" s="79">
        <f t="shared" si="262"/>
        <v>98.812666666666658</v>
      </c>
      <c r="CG238" s="80"/>
      <c r="CH238" s="77"/>
      <c r="CI238" s="77"/>
      <c r="CJ238" s="77"/>
      <c r="CK238" s="59" t="str">
        <f t="shared" si="278"/>
        <v/>
      </c>
      <c r="CL238" s="87">
        <v>0</v>
      </c>
      <c r="CM238" s="72">
        <f t="shared" si="263"/>
        <v>0</v>
      </c>
      <c r="CN238" s="81">
        <f t="shared" si="264"/>
        <v>1</v>
      </c>
      <c r="CO238" s="59">
        <f t="shared" si="265"/>
        <v>47.752587999999996</v>
      </c>
      <c r="CP238" s="59">
        <f t="shared" si="266"/>
        <v>1</v>
      </c>
      <c r="CQ238" s="59">
        <f t="shared" si="267"/>
        <v>24.526872000000001</v>
      </c>
      <c r="CR238" s="59">
        <f>IF(AV238&gt;0,'Look Ups'!$L$3,0)</f>
        <v>1</v>
      </c>
      <c r="CS238" s="59">
        <f t="shared" si="268"/>
        <v>0</v>
      </c>
      <c r="CT238" s="59">
        <f t="shared" si="279"/>
        <v>0</v>
      </c>
      <c r="CU238" s="59">
        <f t="shared" si="280"/>
        <v>0</v>
      </c>
      <c r="CV238" s="79">
        <f t="shared" si="281"/>
        <v>0</v>
      </c>
      <c r="CW238" s="82" t="str">
        <f t="shared" si="269"/>
        <v>-</v>
      </c>
      <c r="CX238" s="65" t="str">
        <f t="shared" si="270"/>
        <v>valid</v>
      </c>
      <c r="CY238" s="66" t="str">
        <f t="shared" si="284"/>
        <v>MGSp</v>
      </c>
      <c r="CZ238" s="81">
        <f t="shared" si="271"/>
        <v>72.27946</v>
      </c>
      <c r="DA238" s="59">
        <f t="shared" si="272"/>
        <v>22.285738399999996</v>
      </c>
      <c r="DB238" s="59">
        <f t="shared" si="273"/>
        <v>0</v>
      </c>
      <c r="DC238" s="59">
        <f t="shared" si="274"/>
        <v>21.914309426666662</v>
      </c>
      <c r="DD238" s="59">
        <f t="shared" si="275"/>
        <v>0</v>
      </c>
      <c r="DE238" s="79">
        <f t="shared" si="276"/>
        <v>74.787837327999995</v>
      </c>
      <c r="DF238" s="83">
        <f t="shared" si="277"/>
        <v>94.5651984</v>
      </c>
    </row>
    <row r="239" spans="2:110" ht="16.5" customHeight="1" x14ac:dyDescent="0.25">
      <c r="B239" s="168"/>
      <c r="C239" s="168" t="s">
        <v>706</v>
      </c>
      <c r="D239" s="169" t="s">
        <v>707</v>
      </c>
      <c r="E239" s="170" t="s">
        <v>708</v>
      </c>
      <c r="F239" s="50">
        <f t="shared" si="244"/>
        <v>0.79425415713232261</v>
      </c>
      <c r="G239" s="50" t="str">
        <f t="shared" ca="1" si="282"/>
        <v>No</v>
      </c>
      <c r="H239" s="51" t="str">
        <f t="shared" si="283"/>
        <v>Main - Genoa - Spinnaker</v>
      </c>
      <c r="I239" s="171">
        <v>36586</v>
      </c>
      <c r="J239" s="171"/>
      <c r="K239" s="172" t="s">
        <v>465</v>
      </c>
      <c r="L239" s="172" t="s">
        <v>239</v>
      </c>
      <c r="M239" s="171"/>
      <c r="N239" s="173" t="s">
        <v>149</v>
      </c>
      <c r="O239" s="173"/>
      <c r="P239" s="174">
        <v>6.7</v>
      </c>
      <c r="Q239" s="175">
        <v>12.68</v>
      </c>
      <c r="R239" s="78"/>
      <c r="S239" s="59">
        <f t="shared" si="252"/>
        <v>0.317</v>
      </c>
      <c r="T239" s="176">
        <v>0.14000000000000001</v>
      </c>
      <c r="U239" s="176">
        <v>0</v>
      </c>
      <c r="V239" s="61">
        <f t="shared" si="253"/>
        <v>12.54</v>
      </c>
      <c r="W239" s="62">
        <f>IF(RL&gt;0,IF(RL&gt;'Look Ups'!R$7,'Look Ups'!R$8,('Look Ups'!R$3*RL^3+'Look Ups'!R$4*RL^2+'Look Ups'!R$5*RL+'Look Ups'!R$6)),0)</f>
        <v>0.3</v>
      </c>
      <c r="X239" s="177">
        <v>5091</v>
      </c>
      <c r="Y239" s="178"/>
      <c r="Z239" s="178"/>
      <c r="AA239" s="178"/>
      <c r="AB239" s="65">
        <f t="shared" si="254"/>
        <v>5091</v>
      </c>
      <c r="AC239" s="66">
        <f t="shared" si="255"/>
        <v>5091</v>
      </c>
      <c r="AD239" s="179" t="s">
        <v>129</v>
      </c>
      <c r="AE239" s="180" t="s">
        <v>130</v>
      </c>
      <c r="AF239" s="181" t="s">
        <v>161</v>
      </c>
      <c r="AG239" s="70">
        <f>IF(C239="",0,VLOOKUP(AD239,'Look Ups'!$B$3:$C$6,2,0)*VLOOKUP(AE239,'Look Ups'!$E$3:$F$5,2,0)*VLOOKUP(AF239,'Look Ups'!$H$3:$I$7,2,0))</f>
        <v>0.99</v>
      </c>
      <c r="AH239" s="80">
        <v>14.41</v>
      </c>
      <c r="AI239" s="77">
        <v>14.35</v>
      </c>
      <c r="AJ239" s="77">
        <v>4.33</v>
      </c>
      <c r="AK239" s="77">
        <v>0.19</v>
      </c>
      <c r="AL239" s="77">
        <v>1.32</v>
      </c>
      <c r="AM239" s="77">
        <v>13.89</v>
      </c>
      <c r="AN239" s="77">
        <v>0.17</v>
      </c>
      <c r="AO239" s="77">
        <v>4.57</v>
      </c>
      <c r="AP239" s="77">
        <v>0.17</v>
      </c>
      <c r="AQ239" s="77">
        <v>0.63</v>
      </c>
      <c r="AR239" s="77" t="s">
        <v>132</v>
      </c>
      <c r="AS239" s="87">
        <v>0</v>
      </c>
      <c r="AT239" s="59">
        <f t="shared" si="256"/>
        <v>14.06</v>
      </c>
      <c r="AU239" s="59">
        <f t="shared" si="257"/>
        <v>3.2815125000000003</v>
      </c>
      <c r="AV239" s="72">
        <f>IF(C239="",0,(0.5*(_ML1*LPM)+0.5*(_ML1*HB)+0.66*(P*PR)+0.66*(_ML2*RDM)+0.66*(E*ER))*VLOOKUP(BATT,'Look Ups'!$N$3:$O$4,2,0))</f>
        <v>47.139532000000003</v>
      </c>
      <c r="AW239" s="182"/>
      <c r="AX239" s="183"/>
      <c r="AY239" s="80">
        <v>12.3</v>
      </c>
      <c r="AZ239" s="77">
        <v>5.9</v>
      </c>
      <c r="BA239" s="77">
        <v>6.65</v>
      </c>
      <c r="BB239" s="77">
        <v>0.24</v>
      </c>
      <c r="BC239" s="77">
        <v>10.9</v>
      </c>
      <c r="BD239" s="77"/>
      <c r="BE239" s="77"/>
      <c r="BF239" s="77">
        <v>-0.22</v>
      </c>
      <c r="BG239" s="77">
        <v>0</v>
      </c>
      <c r="BH239" s="87"/>
      <c r="BI239" s="72">
        <f t="shared" si="258"/>
        <v>35.755679999999998</v>
      </c>
      <c r="BJ239" s="76"/>
      <c r="BK239" s="77"/>
      <c r="BL239" s="78"/>
      <c r="BM239" s="78"/>
      <c r="BN239" s="77"/>
      <c r="BO239" s="78"/>
      <c r="BP239" s="78"/>
      <c r="BQ239" s="79">
        <f t="shared" si="259"/>
        <v>0</v>
      </c>
      <c r="BR239" s="80"/>
      <c r="BS239" s="77"/>
      <c r="BT239" s="77"/>
      <c r="BU239" s="77"/>
      <c r="BV239" s="77"/>
      <c r="BW239" s="77"/>
      <c r="BX239" s="77"/>
      <c r="BY239" s="72">
        <f t="shared" si="260"/>
        <v>0</v>
      </c>
      <c r="BZ239" s="182">
        <v>8.77</v>
      </c>
      <c r="CA239" s="77">
        <v>14.42</v>
      </c>
      <c r="CB239" s="77">
        <v>14.42</v>
      </c>
      <c r="CC239" s="77">
        <v>8.6</v>
      </c>
      <c r="CD239" s="65">
        <f t="shared" si="261"/>
        <v>98.061573546180156</v>
      </c>
      <c r="CE239" s="77">
        <v>0</v>
      </c>
      <c r="CF239" s="79">
        <f t="shared" si="262"/>
        <v>103.75189999999999</v>
      </c>
      <c r="CG239" s="80"/>
      <c r="CH239" s="77"/>
      <c r="CI239" s="77"/>
      <c r="CJ239" s="77"/>
      <c r="CK239" s="59" t="str">
        <f t="shared" si="278"/>
        <v/>
      </c>
      <c r="CL239" s="77">
        <v>0</v>
      </c>
      <c r="CM239" s="72">
        <f t="shared" si="263"/>
        <v>0</v>
      </c>
      <c r="CN239" s="81">
        <f t="shared" si="264"/>
        <v>1</v>
      </c>
      <c r="CO239" s="59">
        <f t="shared" si="265"/>
        <v>50.421044499999994</v>
      </c>
      <c r="CP239" s="59">
        <f t="shared" si="266"/>
        <v>1</v>
      </c>
      <c r="CQ239" s="59">
        <f t="shared" si="267"/>
        <v>35.755679999999998</v>
      </c>
      <c r="CR239" s="59">
        <f>IF(AV239&gt;0,'Look Ups'!$L$3,0)</f>
        <v>1</v>
      </c>
      <c r="CS239" s="59">
        <f t="shared" si="268"/>
        <v>0</v>
      </c>
      <c r="CT239" s="59">
        <f t="shared" si="279"/>
        <v>0</v>
      </c>
      <c r="CU239" s="59">
        <f t="shared" si="280"/>
        <v>0</v>
      </c>
      <c r="CV239" s="79">
        <f t="shared" si="281"/>
        <v>0</v>
      </c>
      <c r="CW239" s="82" t="str">
        <f t="shared" si="269"/>
        <v>-</v>
      </c>
      <c r="CX239" s="65" t="str">
        <f t="shared" si="270"/>
        <v>valid</v>
      </c>
      <c r="CY239" s="66" t="str">
        <f t="shared" si="284"/>
        <v>MGSp</v>
      </c>
      <c r="CZ239" s="81">
        <f t="shared" si="271"/>
        <v>86.176724499999992</v>
      </c>
      <c r="DA239" s="59">
        <f t="shared" si="272"/>
        <v>20.398865999999998</v>
      </c>
      <c r="DB239" s="59">
        <f t="shared" si="273"/>
        <v>0</v>
      </c>
      <c r="DC239" s="59">
        <f t="shared" si="274"/>
        <v>20.058884899999999</v>
      </c>
      <c r="DD239" s="59">
        <f t="shared" si="275"/>
        <v>0</v>
      </c>
      <c r="DE239" s="79">
        <f t="shared" si="276"/>
        <v>87.76058386599999</v>
      </c>
      <c r="DF239" s="83">
        <f t="shared" si="277"/>
        <v>106.57559049999999</v>
      </c>
    </row>
    <row r="240" spans="2:110" ht="16.5" customHeight="1" x14ac:dyDescent="0.25">
      <c r="B240" s="168"/>
      <c r="C240" s="47" t="s">
        <v>370</v>
      </c>
      <c r="D240" s="84" t="s">
        <v>371</v>
      </c>
      <c r="E240" s="49" t="s">
        <v>867</v>
      </c>
      <c r="F240" s="50">
        <f t="shared" si="244"/>
        <v>0.97773816613646569</v>
      </c>
      <c r="G240" s="50" t="str">
        <f t="shared" ca="1" si="282"/>
        <v>No</v>
      </c>
      <c r="H240" s="51" t="str">
        <f t="shared" si="283"/>
        <v>Main - Genoa - Spinnaker</v>
      </c>
      <c r="I240" s="52">
        <v>38951</v>
      </c>
      <c r="J240" s="52"/>
      <c r="K240" s="53" t="s">
        <v>372</v>
      </c>
      <c r="L240" s="53" t="s">
        <v>212</v>
      </c>
      <c r="M240" s="54"/>
      <c r="N240" s="75" t="s">
        <v>127</v>
      </c>
      <c r="O240" s="75"/>
      <c r="P240" s="85"/>
      <c r="Q240" s="57">
        <v>8.65</v>
      </c>
      <c r="R240" s="58"/>
      <c r="S240" s="59">
        <f t="shared" si="252"/>
        <v>0.21625000000000003</v>
      </c>
      <c r="T240" s="60">
        <v>0.24</v>
      </c>
      <c r="U240" s="60">
        <v>0</v>
      </c>
      <c r="V240" s="61">
        <f t="shared" si="253"/>
        <v>8.41</v>
      </c>
      <c r="W240" s="62">
        <f>IF(RL&gt;0,IF(RL&gt;'Look Ups'!R$7,'Look Ups'!R$8,('Look Ups'!R$3*RL^3+'Look Ups'!R$4*RL^2+'Look Ups'!R$5*RL+'Look Ups'!R$6)),0)</f>
        <v>0.295104829593</v>
      </c>
      <c r="X240" s="63">
        <v>1010</v>
      </c>
      <c r="Y240" s="64"/>
      <c r="Z240" s="64"/>
      <c r="AA240" s="64"/>
      <c r="AB240" s="65">
        <f t="shared" si="254"/>
        <v>1010</v>
      </c>
      <c r="AC240" s="66">
        <f t="shared" si="255"/>
        <v>1010</v>
      </c>
      <c r="AD240" s="67" t="s">
        <v>129</v>
      </c>
      <c r="AE240" s="68" t="s">
        <v>130</v>
      </c>
      <c r="AF240" s="69" t="s">
        <v>131</v>
      </c>
      <c r="AG240" s="70">
        <f>IF(C240="",0,VLOOKUP(AD240,'Look Ups'!$B$3:$C$6,2,0)*VLOOKUP(AE240,'Look Ups'!$E$3:$F$5,2,0)*VLOOKUP(AF240,'Look Ups'!$H$3:$I$7,2,0))</f>
        <v>1</v>
      </c>
      <c r="AH240" s="71">
        <v>10.62</v>
      </c>
      <c r="AI240" s="60">
        <v>10.34</v>
      </c>
      <c r="AJ240" s="60">
        <v>3.47</v>
      </c>
      <c r="AK240" s="60">
        <v>0.82</v>
      </c>
      <c r="AL240" s="60">
        <v>0.94</v>
      </c>
      <c r="AM240" s="60">
        <v>10.52</v>
      </c>
      <c r="AN240" s="60">
        <v>0.03</v>
      </c>
      <c r="AO240" s="60">
        <v>3.58</v>
      </c>
      <c r="AP240" s="60">
        <v>0.04</v>
      </c>
      <c r="AQ240" s="60">
        <v>0.39</v>
      </c>
      <c r="AR240" s="60" t="s">
        <v>132</v>
      </c>
      <c r="AS240" s="75">
        <v>0</v>
      </c>
      <c r="AT240" s="59">
        <f t="shared" si="256"/>
        <v>10.559999999999999</v>
      </c>
      <c r="AU240" s="59">
        <f t="shared" si="257"/>
        <v>1.5385500000000001</v>
      </c>
      <c r="AV240" s="72">
        <f>IF(C240="",0,(0.5*(_ML1*LPM)+0.5*(_ML1*HB)+0.66*(P*PR)+0.66*(_ML2*RDM)+0.66*(E*ER))*VLOOKUP(BATT,'Look Ups'!$N$3:$O$4,2,0))</f>
        <v>29.497644000000001</v>
      </c>
      <c r="AW240" s="73"/>
      <c r="AX240" s="74"/>
      <c r="AY240" s="71">
        <v>9.7200000000000006</v>
      </c>
      <c r="AZ240" s="60">
        <v>3.21</v>
      </c>
      <c r="BA240" s="60">
        <v>3.53</v>
      </c>
      <c r="BB240" s="60">
        <v>0.04</v>
      </c>
      <c r="BC240" s="60">
        <v>8.82</v>
      </c>
      <c r="BD240" s="60"/>
      <c r="BE240" s="60"/>
      <c r="BF240" s="60">
        <v>0</v>
      </c>
      <c r="BG240" s="60">
        <v>0.11</v>
      </c>
      <c r="BH240" s="75">
        <v>0</v>
      </c>
      <c r="BI240" s="72">
        <f t="shared" si="258"/>
        <v>16.399463999999998</v>
      </c>
      <c r="BJ240" s="76"/>
      <c r="BK240" s="77"/>
      <c r="BL240" s="78"/>
      <c r="BM240" s="78"/>
      <c r="BN240" s="77"/>
      <c r="BO240" s="78"/>
      <c r="BP240" s="78"/>
      <c r="BQ240" s="79">
        <f t="shared" si="259"/>
        <v>0</v>
      </c>
      <c r="BR240" s="80"/>
      <c r="BS240" s="77"/>
      <c r="BT240" s="77"/>
      <c r="BU240" s="77"/>
      <c r="BV240" s="77"/>
      <c r="BW240" s="77"/>
      <c r="BX240" s="77"/>
      <c r="BY240" s="72">
        <f t="shared" si="260"/>
        <v>0</v>
      </c>
      <c r="BZ240" s="73">
        <v>8.1999999999999993</v>
      </c>
      <c r="CA240" s="60">
        <v>13.09</v>
      </c>
      <c r="CB240" s="60">
        <v>11.35</v>
      </c>
      <c r="CC240" s="60">
        <v>7.16</v>
      </c>
      <c r="CD240" s="65">
        <f t="shared" si="261"/>
        <v>87.317073170731717</v>
      </c>
      <c r="CE240" s="75">
        <v>0</v>
      </c>
      <c r="CF240" s="79">
        <f t="shared" si="262"/>
        <v>75.030799999999985</v>
      </c>
      <c r="CG240" s="71"/>
      <c r="CH240" s="60"/>
      <c r="CI240" s="60"/>
      <c r="CJ240" s="60"/>
      <c r="CK240" s="59" t="str">
        <f t="shared" si="278"/>
        <v/>
      </c>
      <c r="CL240" s="75">
        <v>0</v>
      </c>
      <c r="CM240" s="72">
        <f t="shared" si="263"/>
        <v>0</v>
      </c>
      <c r="CN240" s="81">
        <f t="shared" si="264"/>
        <v>1</v>
      </c>
      <c r="CO240" s="59">
        <f t="shared" si="265"/>
        <v>31.036194000000002</v>
      </c>
      <c r="CP240" s="59">
        <f t="shared" si="266"/>
        <v>1</v>
      </c>
      <c r="CQ240" s="59">
        <f t="shared" si="267"/>
        <v>16.399463999999998</v>
      </c>
      <c r="CR240" s="59">
        <f>IF(AV240&gt;0,'Look Ups'!$L$3,0)</f>
        <v>1</v>
      </c>
      <c r="CS240" s="59">
        <f t="shared" si="268"/>
        <v>0</v>
      </c>
      <c r="CT240" s="59">
        <f t="shared" si="279"/>
        <v>0</v>
      </c>
      <c r="CU240" s="59">
        <f t="shared" si="280"/>
        <v>0</v>
      </c>
      <c r="CV240" s="79">
        <f t="shared" si="281"/>
        <v>0</v>
      </c>
      <c r="CW240" s="82" t="str">
        <f t="shared" si="269"/>
        <v>-</v>
      </c>
      <c r="CX240" s="65" t="str">
        <f t="shared" si="270"/>
        <v>valid</v>
      </c>
      <c r="CY240" s="66" t="str">
        <f t="shared" si="284"/>
        <v>MGSp</v>
      </c>
      <c r="CZ240" s="81">
        <f t="shared" si="271"/>
        <v>47.435658000000004</v>
      </c>
      <c r="DA240" s="59">
        <f t="shared" si="272"/>
        <v>17.589400799999996</v>
      </c>
      <c r="DB240" s="59">
        <f t="shared" si="273"/>
        <v>0</v>
      </c>
      <c r="DC240" s="59">
        <f t="shared" si="274"/>
        <v>17.296244119999997</v>
      </c>
      <c r="DD240" s="59">
        <f t="shared" si="275"/>
        <v>0</v>
      </c>
      <c r="DE240" s="79">
        <f t="shared" si="276"/>
        <v>49.016424840000006</v>
      </c>
      <c r="DF240" s="83">
        <f t="shared" si="277"/>
        <v>65.025058799999996</v>
      </c>
    </row>
    <row r="241" spans="2:110" ht="16.5" customHeight="1" x14ac:dyDescent="0.25">
      <c r="B241" s="47"/>
      <c r="C241" s="47" t="s">
        <v>376</v>
      </c>
      <c r="D241" s="48" t="s">
        <v>377</v>
      </c>
      <c r="E241" s="49" t="s">
        <v>378</v>
      </c>
      <c r="F241" s="50">
        <f t="shared" si="244"/>
        <v>0.7699106093436725</v>
      </c>
      <c r="G241" s="50" t="str">
        <f t="shared" ca="1" si="282"/>
        <v>No</v>
      </c>
      <c r="H241" s="51" t="str">
        <f t="shared" si="283"/>
        <v>Main - Genoa - Spinnaker</v>
      </c>
      <c r="I241" s="52">
        <v>35852</v>
      </c>
      <c r="J241" s="52"/>
      <c r="K241" s="53" t="s">
        <v>379</v>
      </c>
      <c r="L241" s="53" t="s">
        <v>239</v>
      </c>
      <c r="M241" s="54"/>
      <c r="N241" s="55" t="s">
        <v>149</v>
      </c>
      <c r="O241" s="55"/>
      <c r="P241" s="86">
        <v>6.1</v>
      </c>
      <c r="Q241" s="57">
        <v>10.65</v>
      </c>
      <c r="R241" s="58"/>
      <c r="S241" s="59">
        <f t="shared" si="252"/>
        <v>0.26625000000000004</v>
      </c>
      <c r="T241" s="60">
        <v>0</v>
      </c>
      <c r="U241" s="60">
        <v>0</v>
      </c>
      <c r="V241" s="61">
        <f t="shared" si="253"/>
        <v>10.65</v>
      </c>
      <c r="W241" s="62">
        <f>IF(RL&gt;0,IF(RL&gt;'Look Ups'!R$7,'Look Ups'!R$8,('Look Ups'!R$3*RL^3+'Look Ups'!R$4*RL^2+'Look Ups'!R$5*RL+'Look Ups'!R$6)),0)</f>
        <v>0.29924583762500001</v>
      </c>
      <c r="X241" s="63">
        <v>3882</v>
      </c>
      <c r="Y241" s="64"/>
      <c r="Z241" s="64"/>
      <c r="AA241" s="64"/>
      <c r="AB241" s="65">
        <f t="shared" si="254"/>
        <v>3882</v>
      </c>
      <c r="AC241" s="66">
        <f t="shared" si="255"/>
        <v>3882</v>
      </c>
      <c r="AD241" s="67" t="s">
        <v>129</v>
      </c>
      <c r="AE241" s="68" t="s">
        <v>130</v>
      </c>
      <c r="AF241" s="69" t="s">
        <v>131</v>
      </c>
      <c r="AG241" s="70">
        <f>IF(C241="",0,VLOOKUP(AD241,'Look Ups'!$B$3:$C$6,2,0)*VLOOKUP(AE241,'Look Ups'!$E$3:$F$5,2,0)*VLOOKUP(AF241,'Look Ups'!$H$3:$I$7,2,0))</f>
        <v>1</v>
      </c>
      <c r="AH241" s="71">
        <v>14.94</v>
      </c>
      <c r="AI241" s="60">
        <v>14.85</v>
      </c>
      <c r="AJ241" s="60">
        <v>5.14</v>
      </c>
      <c r="AK241" s="60">
        <v>0.15</v>
      </c>
      <c r="AL241" s="60">
        <v>0.68</v>
      </c>
      <c r="AM241" s="60">
        <v>14.24</v>
      </c>
      <c r="AN241" s="60">
        <v>0.26</v>
      </c>
      <c r="AO241" s="60">
        <v>5.39</v>
      </c>
      <c r="AP241" s="60">
        <v>0</v>
      </c>
      <c r="AQ241" s="60">
        <v>0</v>
      </c>
      <c r="AR241" s="60" t="s">
        <v>132</v>
      </c>
      <c r="AS241" s="75">
        <v>0</v>
      </c>
      <c r="AT241" s="59">
        <f t="shared" si="256"/>
        <v>14.24</v>
      </c>
      <c r="AU241" s="59">
        <f t="shared" si="257"/>
        <v>0</v>
      </c>
      <c r="AV241" s="72">
        <f>IF(C241="",0,(0.5*(_ML1*LPM)+0.5*(_ML1*HB)+0.66*(P*PR)+0.66*(_ML2*RDM)+0.66*(E*ER))*VLOOKUP(BATT,'Look Ups'!$N$3:$O$4,2,0))</f>
        <v>48.624563999999992</v>
      </c>
      <c r="AW241" s="73"/>
      <c r="AX241" s="74"/>
      <c r="AY241" s="71">
        <v>13.53</v>
      </c>
      <c r="AZ241" s="60">
        <v>3.46</v>
      </c>
      <c r="BA241" s="60">
        <v>4.57</v>
      </c>
      <c r="BB241" s="60">
        <v>0.11</v>
      </c>
      <c r="BC241" s="60">
        <v>11.54</v>
      </c>
      <c r="BD241" s="60"/>
      <c r="BE241" s="60"/>
      <c r="BF241" s="60">
        <v>-0.24</v>
      </c>
      <c r="BG241" s="60">
        <v>0</v>
      </c>
      <c r="BH241" s="75"/>
      <c r="BI241" s="72">
        <f t="shared" si="258"/>
        <v>21.910746</v>
      </c>
      <c r="BJ241" s="76"/>
      <c r="BK241" s="77"/>
      <c r="BL241" s="78"/>
      <c r="BM241" s="78"/>
      <c r="BN241" s="77"/>
      <c r="BO241" s="78"/>
      <c r="BP241" s="78"/>
      <c r="BQ241" s="79">
        <f t="shared" si="259"/>
        <v>0</v>
      </c>
      <c r="BR241" s="80"/>
      <c r="BS241" s="77"/>
      <c r="BT241" s="77"/>
      <c r="BU241" s="77"/>
      <c r="BV241" s="77"/>
      <c r="BW241" s="77"/>
      <c r="BX241" s="77"/>
      <c r="BY241" s="72">
        <f t="shared" si="260"/>
        <v>0</v>
      </c>
      <c r="BZ241" s="73">
        <v>7.37</v>
      </c>
      <c r="CA241" s="60">
        <v>14.83</v>
      </c>
      <c r="CB241" s="60">
        <v>13.15</v>
      </c>
      <c r="CC241" s="60">
        <v>6.6</v>
      </c>
      <c r="CD241" s="65">
        <f t="shared" si="261"/>
        <v>89.552238805970148</v>
      </c>
      <c r="CE241" s="60">
        <v>0</v>
      </c>
      <c r="CF241" s="79">
        <f t="shared" si="262"/>
        <v>78.740383333333327</v>
      </c>
      <c r="CG241" s="71"/>
      <c r="CH241" s="60"/>
      <c r="CI241" s="60"/>
      <c r="CJ241" s="60"/>
      <c r="CK241" s="59" t="str">
        <f t="shared" si="278"/>
        <v/>
      </c>
      <c r="CL241" s="60">
        <v>0</v>
      </c>
      <c r="CM241" s="72">
        <f t="shared" si="263"/>
        <v>0</v>
      </c>
      <c r="CN241" s="81">
        <f t="shared" si="264"/>
        <v>1</v>
      </c>
      <c r="CO241" s="59">
        <f t="shared" si="265"/>
        <v>48.624563999999992</v>
      </c>
      <c r="CP241" s="59">
        <f t="shared" si="266"/>
        <v>1</v>
      </c>
      <c r="CQ241" s="59">
        <f t="shared" si="267"/>
        <v>21.910746</v>
      </c>
      <c r="CR241" s="59">
        <f>IF(AV241&gt;0,'Look Ups'!$L$3,0)</f>
        <v>1</v>
      </c>
      <c r="CS241" s="59">
        <f t="shared" si="268"/>
        <v>0</v>
      </c>
      <c r="CT241" s="59">
        <f t="shared" si="279"/>
        <v>0</v>
      </c>
      <c r="CU241" s="59">
        <f t="shared" si="280"/>
        <v>0</v>
      </c>
      <c r="CV241" s="79">
        <f t="shared" si="281"/>
        <v>0</v>
      </c>
      <c r="CW241" s="82" t="str">
        <f t="shared" si="269"/>
        <v>-</v>
      </c>
      <c r="CX241" s="65" t="str">
        <f t="shared" si="270"/>
        <v>valid</v>
      </c>
      <c r="CY241" s="66" t="str">
        <f t="shared" si="284"/>
        <v>MGSp</v>
      </c>
      <c r="CZ241" s="81">
        <f t="shared" si="271"/>
        <v>70.535309999999996</v>
      </c>
      <c r="DA241" s="59">
        <f t="shared" si="272"/>
        <v>17.048891199999996</v>
      </c>
      <c r="DB241" s="59">
        <f t="shared" si="273"/>
        <v>0</v>
      </c>
      <c r="DC241" s="59">
        <f t="shared" si="274"/>
        <v>16.76474301333333</v>
      </c>
      <c r="DD241" s="59">
        <f t="shared" si="275"/>
        <v>0</v>
      </c>
      <c r="DE241" s="79">
        <f t="shared" si="276"/>
        <v>73.420402343999996</v>
      </c>
      <c r="DF241" s="83">
        <f t="shared" si="277"/>
        <v>87.584201199999995</v>
      </c>
    </row>
    <row r="242" spans="2:110" ht="16.5" customHeight="1" x14ac:dyDescent="0.25">
      <c r="B242" s="47"/>
      <c r="C242" s="168" t="s">
        <v>709</v>
      </c>
      <c r="D242" s="169" t="s">
        <v>710</v>
      </c>
      <c r="E242" s="170" t="s">
        <v>711</v>
      </c>
      <c r="F242" s="50">
        <f t="shared" si="244"/>
        <v>0.85239055954372389</v>
      </c>
      <c r="G242" s="50" t="str">
        <f t="shared" ca="1" si="282"/>
        <v>No</v>
      </c>
      <c r="H242" s="51" t="str">
        <f t="shared" si="283"/>
        <v>Main - Genoa - Spinnaker</v>
      </c>
      <c r="I242" s="171">
        <v>37883</v>
      </c>
      <c r="J242" s="171"/>
      <c r="K242" s="172" t="s">
        <v>142</v>
      </c>
      <c r="L242" s="172" t="s">
        <v>387</v>
      </c>
      <c r="M242" s="171"/>
      <c r="N242" s="87" t="s">
        <v>537</v>
      </c>
      <c r="O242" s="87"/>
      <c r="P242" s="186">
        <v>5.9</v>
      </c>
      <c r="Q242" s="175">
        <v>8.2799999999999994</v>
      </c>
      <c r="R242" s="78"/>
      <c r="S242" s="59">
        <f t="shared" si="252"/>
        <v>0.20699999999999999</v>
      </c>
      <c r="T242" s="176">
        <v>0.06</v>
      </c>
      <c r="U242" s="176">
        <v>0</v>
      </c>
      <c r="V242" s="61">
        <f t="shared" si="253"/>
        <v>8.2199999999999989</v>
      </c>
      <c r="W242" s="62">
        <f>IF(RL&gt;0,IF(RL&gt;'Look Ups'!R$7,'Look Ups'!R$8,('Look Ups'!R$3*RL^3+'Look Ups'!R$4*RL^2+'Look Ups'!R$5*RL+'Look Ups'!R$6)),0)</f>
        <v>0.29452284418400004</v>
      </c>
      <c r="X242" s="177">
        <v>1220</v>
      </c>
      <c r="Y242" s="178"/>
      <c r="Z242" s="178"/>
      <c r="AA242" s="178"/>
      <c r="AB242" s="65">
        <f t="shared" si="254"/>
        <v>1220</v>
      </c>
      <c r="AC242" s="66">
        <f t="shared" si="255"/>
        <v>1220</v>
      </c>
      <c r="AD242" s="179" t="s">
        <v>154</v>
      </c>
      <c r="AE242" s="180" t="s">
        <v>130</v>
      </c>
      <c r="AF242" s="181" t="s">
        <v>131</v>
      </c>
      <c r="AG242" s="70">
        <f>IF(C242="",0,VLOOKUP(AD242,'Look Ups'!$B$3:$C$6,2,0)*VLOOKUP(AE242,'Look Ups'!$E$3:$F$5,2,0)*VLOOKUP(AF242,'Look Ups'!$H$3:$I$7,2,0))</f>
        <v>0.99</v>
      </c>
      <c r="AH242" s="80">
        <v>10.62</v>
      </c>
      <c r="AI242" s="77">
        <v>10.39</v>
      </c>
      <c r="AJ242" s="77">
        <v>3.21</v>
      </c>
      <c r="AK242" s="77">
        <v>0.84</v>
      </c>
      <c r="AL242" s="77">
        <v>0.76</v>
      </c>
      <c r="AM242" s="77">
        <v>10.31</v>
      </c>
      <c r="AN242" s="77">
        <v>0.08</v>
      </c>
      <c r="AO242" s="77">
        <v>3.32</v>
      </c>
      <c r="AP242" s="77">
        <v>0.05</v>
      </c>
      <c r="AQ242" s="77">
        <v>0.45</v>
      </c>
      <c r="AR242" s="77" t="s">
        <v>132</v>
      </c>
      <c r="AS242" s="87">
        <v>0</v>
      </c>
      <c r="AT242" s="59">
        <f t="shared" si="256"/>
        <v>10.360000000000001</v>
      </c>
      <c r="AU242" s="59">
        <f t="shared" si="257"/>
        <v>1.7398125</v>
      </c>
      <c r="AV242" s="72">
        <f>IF(C242="",0,(0.5*(_ML1*LPM)+0.5*(_ML1*HB)+0.66*(P*PR)+0.66*(_ML2*RDM)+0.66*(E*ER))*VLOOKUP(BATT,'Look Ups'!$N$3:$O$4,2,0))</f>
        <v>27.371051999999995</v>
      </c>
      <c r="AW242" s="182"/>
      <c r="AX242" s="183"/>
      <c r="AY242" s="80">
        <v>8.64</v>
      </c>
      <c r="AZ242" s="77">
        <v>2.68</v>
      </c>
      <c r="BA242" s="77">
        <v>3.04</v>
      </c>
      <c r="BB242" s="77">
        <v>0.08</v>
      </c>
      <c r="BC242" s="77">
        <v>7.7</v>
      </c>
      <c r="BD242" s="77"/>
      <c r="BE242" s="77"/>
      <c r="BF242" s="77">
        <v>-0.08</v>
      </c>
      <c r="BG242" s="77">
        <v>-0.03</v>
      </c>
      <c r="BH242" s="87"/>
      <c r="BI242" s="72">
        <f t="shared" si="258"/>
        <v>11.160480000000002</v>
      </c>
      <c r="BJ242" s="76"/>
      <c r="BK242" s="77"/>
      <c r="BL242" s="78"/>
      <c r="BM242" s="78"/>
      <c r="BN242" s="77"/>
      <c r="BO242" s="78"/>
      <c r="BP242" s="78"/>
      <c r="BQ242" s="79">
        <f t="shared" si="259"/>
        <v>0</v>
      </c>
      <c r="BR242" s="80"/>
      <c r="BS242" s="77"/>
      <c r="BT242" s="77"/>
      <c r="BU242" s="77"/>
      <c r="BV242" s="77"/>
      <c r="BW242" s="77"/>
      <c r="BX242" s="77"/>
      <c r="BY242" s="72">
        <f t="shared" si="260"/>
        <v>0</v>
      </c>
      <c r="BZ242" s="182">
        <v>7.89</v>
      </c>
      <c r="CA242" s="77">
        <v>11.8</v>
      </c>
      <c r="CB242" s="77">
        <v>10.39</v>
      </c>
      <c r="CC242" s="77">
        <v>6.75</v>
      </c>
      <c r="CD242" s="65">
        <f t="shared" si="261"/>
        <v>85.551330798479086</v>
      </c>
      <c r="CE242" s="77">
        <v>0</v>
      </c>
      <c r="CF242" s="79">
        <f t="shared" si="262"/>
        <v>64.517425000000003</v>
      </c>
      <c r="CG242" s="80"/>
      <c r="CH242" s="77"/>
      <c r="CI242" s="77"/>
      <c r="CJ242" s="77"/>
      <c r="CK242" s="59" t="str">
        <f t="shared" si="278"/>
        <v/>
      </c>
      <c r="CL242" s="77">
        <v>0</v>
      </c>
      <c r="CM242" s="72">
        <f t="shared" si="263"/>
        <v>0</v>
      </c>
      <c r="CN242" s="81">
        <f t="shared" si="264"/>
        <v>1</v>
      </c>
      <c r="CO242" s="59">
        <f t="shared" si="265"/>
        <v>29.110864499999995</v>
      </c>
      <c r="CP242" s="59">
        <f t="shared" si="266"/>
        <v>1</v>
      </c>
      <c r="CQ242" s="59">
        <f t="shared" si="267"/>
        <v>11.160480000000002</v>
      </c>
      <c r="CR242" s="59">
        <f>IF(AV242&gt;0,'Look Ups'!$L$3,0)</f>
        <v>1</v>
      </c>
      <c r="CS242" s="59">
        <f t="shared" si="268"/>
        <v>0</v>
      </c>
      <c r="CT242" s="59">
        <f t="shared" si="279"/>
        <v>0</v>
      </c>
      <c r="CU242" s="59">
        <f t="shared" si="280"/>
        <v>0</v>
      </c>
      <c r="CV242" s="79">
        <f t="shared" si="281"/>
        <v>0</v>
      </c>
      <c r="CW242" s="82" t="str">
        <f t="shared" si="269"/>
        <v>-</v>
      </c>
      <c r="CX242" s="65" t="str">
        <f t="shared" si="270"/>
        <v>valid</v>
      </c>
      <c r="CY242" s="66" t="str">
        <f t="shared" si="284"/>
        <v>MGSp</v>
      </c>
      <c r="CZ242" s="81">
        <f t="shared" si="271"/>
        <v>40.271344499999998</v>
      </c>
      <c r="DA242" s="59">
        <f t="shared" si="272"/>
        <v>16.0070835</v>
      </c>
      <c r="DB242" s="59">
        <f t="shared" si="273"/>
        <v>0</v>
      </c>
      <c r="DC242" s="59">
        <f t="shared" si="274"/>
        <v>15.740298774999999</v>
      </c>
      <c r="DD242" s="59">
        <f t="shared" si="275"/>
        <v>0</v>
      </c>
      <c r="DE242" s="79">
        <f t="shared" si="276"/>
        <v>42.209986025999996</v>
      </c>
      <c r="DF242" s="83">
        <f t="shared" si="277"/>
        <v>56.278427999999998</v>
      </c>
    </row>
    <row r="243" spans="2:110" ht="16.5" customHeight="1" x14ac:dyDescent="0.25">
      <c r="B243" s="168"/>
      <c r="C243" s="47" t="s">
        <v>380</v>
      </c>
      <c r="D243" s="48" t="s">
        <v>381</v>
      </c>
      <c r="E243" s="49" t="s">
        <v>382</v>
      </c>
      <c r="F243" s="50">
        <f t="shared" si="244"/>
        <v>0.88478322134531151</v>
      </c>
      <c r="G243" s="50" t="str">
        <f t="shared" ca="1" si="282"/>
        <v>No</v>
      </c>
      <c r="H243" s="51" t="str">
        <f t="shared" si="283"/>
        <v>Main - Genoa - Spinnaker</v>
      </c>
      <c r="I243" s="52">
        <v>38731</v>
      </c>
      <c r="J243" s="52">
        <v>41494</v>
      </c>
      <c r="K243" s="53" t="s">
        <v>236</v>
      </c>
      <c r="L243" s="53" t="s">
        <v>148</v>
      </c>
      <c r="M243" s="54"/>
      <c r="N243" s="75" t="s">
        <v>127</v>
      </c>
      <c r="O243" s="75" t="s">
        <v>128</v>
      </c>
      <c r="P243" s="56"/>
      <c r="Q243" s="57">
        <v>9.7200000000000006</v>
      </c>
      <c r="R243" s="58"/>
      <c r="S243" s="59">
        <f t="shared" si="252"/>
        <v>0.24300000000000002</v>
      </c>
      <c r="T243" s="60">
        <v>0.12</v>
      </c>
      <c r="U243" s="60">
        <v>0</v>
      </c>
      <c r="V243" s="61">
        <f t="shared" si="253"/>
        <v>9.6000000000000014</v>
      </c>
      <c r="W243" s="62">
        <f>IF(RL&gt;0,IF(RL&gt;'Look Ups'!R$7,'Look Ups'!R$8,('Look Ups'!R$3*RL^3+'Look Ups'!R$4*RL^2+'Look Ups'!R$5*RL+'Look Ups'!R$6)),0)</f>
        <v>0.29787228800000004</v>
      </c>
      <c r="X243" s="63">
        <v>2248</v>
      </c>
      <c r="Y243" s="64"/>
      <c r="Z243" s="64"/>
      <c r="AA243" s="64"/>
      <c r="AB243" s="65">
        <f t="shared" si="254"/>
        <v>2248</v>
      </c>
      <c r="AC243" s="66">
        <f t="shared" si="255"/>
        <v>2248</v>
      </c>
      <c r="AD243" s="67" t="s">
        <v>129</v>
      </c>
      <c r="AE243" s="68" t="s">
        <v>130</v>
      </c>
      <c r="AF243" s="69" t="s">
        <v>131</v>
      </c>
      <c r="AG243" s="70">
        <f>IF(C243="",0,VLOOKUP(AD243,'Look Ups'!$B$3:$C$6,2,0)*VLOOKUP(AE243,'Look Ups'!$E$3:$F$5,2,0)*VLOOKUP(AF243,'Look Ups'!$H$3:$I$7,2,0))</f>
        <v>1</v>
      </c>
      <c r="AH243" s="71">
        <v>12.66</v>
      </c>
      <c r="AI243" s="60">
        <v>12.35</v>
      </c>
      <c r="AJ243" s="60">
        <v>4.0199999999999996</v>
      </c>
      <c r="AK243" s="60">
        <v>1.45</v>
      </c>
      <c r="AL243" s="60">
        <v>0.55000000000000004</v>
      </c>
      <c r="AM243" s="60">
        <v>12.18</v>
      </c>
      <c r="AN243" s="60">
        <v>0.13</v>
      </c>
      <c r="AO243" s="60">
        <v>4.24</v>
      </c>
      <c r="AP243" s="60">
        <v>0.05</v>
      </c>
      <c r="AQ243" s="60">
        <v>0.5</v>
      </c>
      <c r="AR243" s="60" t="s">
        <v>132</v>
      </c>
      <c r="AS243" s="75">
        <v>0</v>
      </c>
      <c r="AT243" s="59">
        <f t="shared" si="256"/>
        <v>12.23</v>
      </c>
      <c r="AU243" s="59">
        <f t="shared" si="257"/>
        <v>2.2837499999999999</v>
      </c>
      <c r="AV243" s="72">
        <f>IF(C243="",0,(0.5*(_ML1*LPM)+0.5*(_ML1*HB)+0.66*(P*PR)+0.66*(_ML2*RDM)+0.66*(E*ER))*VLOOKUP(BATT,'Look Ups'!$N$3:$O$4,2,0))</f>
        <v>40.293113999999989</v>
      </c>
      <c r="AW243" s="73"/>
      <c r="AX243" s="74"/>
      <c r="AY243" s="71">
        <v>10.95</v>
      </c>
      <c r="AZ243" s="60">
        <v>3.69</v>
      </c>
      <c r="BA243" s="60">
        <v>4.1500000000000004</v>
      </c>
      <c r="BB243" s="60">
        <v>0.08</v>
      </c>
      <c r="BC243" s="60">
        <v>9.77</v>
      </c>
      <c r="BD243" s="60"/>
      <c r="BE243" s="60"/>
      <c r="BF243" s="60">
        <v>0.1</v>
      </c>
      <c r="BG243" s="60">
        <v>0.02</v>
      </c>
      <c r="BH243" s="75">
        <v>0</v>
      </c>
      <c r="BI243" s="72">
        <f t="shared" si="258"/>
        <v>21.211229999999997</v>
      </c>
      <c r="BJ243" s="76"/>
      <c r="BK243" s="77"/>
      <c r="BL243" s="78"/>
      <c r="BM243" s="78"/>
      <c r="BN243" s="77"/>
      <c r="BO243" s="78"/>
      <c r="BP243" s="78"/>
      <c r="BQ243" s="79">
        <f t="shared" si="259"/>
        <v>0</v>
      </c>
      <c r="BR243" s="80"/>
      <c r="BS243" s="77"/>
      <c r="BT243" s="77"/>
      <c r="BU243" s="77"/>
      <c r="BV243" s="77"/>
      <c r="BW243" s="77"/>
      <c r="BX243" s="77"/>
      <c r="BY243" s="72">
        <f t="shared" si="260"/>
        <v>0</v>
      </c>
      <c r="BZ243" s="73">
        <v>9.2200000000000006</v>
      </c>
      <c r="CA243" s="60">
        <v>15.11</v>
      </c>
      <c r="CB243" s="60">
        <v>13.19</v>
      </c>
      <c r="CC243" s="60">
        <v>8.02</v>
      </c>
      <c r="CD243" s="65">
        <f t="shared" si="261"/>
        <v>86.984815618221248</v>
      </c>
      <c r="CE243" s="60" t="s">
        <v>383</v>
      </c>
      <c r="CF243" s="79">
        <f t="shared" si="262"/>
        <v>97.399166666666645</v>
      </c>
      <c r="CG243" s="71"/>
      <c r="CH243" s="60">
        <v>0</v>
      </c>
      <c r="CI243" s="60">
        <v>0</v>
      </c>
      <c r="CJ243" s="60">
        <v>0</v>
      </c>
      <c r="CK243" s="59" t="str">
        <f t="shared" si="278"/>
        <v/>
      </c>
      <c r="CL243" s="60">
        <v>0</v>
      </c>
      <c r="CM243" s="72">
        <f t="shared" si="263"/>
        <v>0</v>
      </c>
      <c r="CN243" s="81">
        <f t="shared" si="264"/>
        <v>1</v>
      </c>
      <c r="CO243" s="59">
        <f t="shared" si="265"/>
        <v>42.576863999999986</v>
      </c>
      <c r="CP243" s="59">
        <f t="shared" si="266"/>
        <v>1</v>
      </c>
      <c r="CQ243" s="59">
        <f t="shared" si="267"/>
        <v>21.211229999999997</v>
      </c>
      <c r="CR243" s="59">
        <f>IF(AV243&gt;0,'Look Ups'!$L$3,0)</f>
        <v>1</v>
      </c>
      <c r="CS243" s="59">
        <f t="shared" si="268"/>
        <v>0</v>
      </c>
      <c r="CT243" s="59">
        <f t="shared" si="279"/>
        <v>0</v>
      </c>
      <c r="CU243" s="59">
        <f t="shared" si="280"/>
        <v>0</v>
      </c>
      <c r="CV243" s="79">
        <f t="shared" si="281"/>
        <v>0</v>
      </c>
      <c r="CW243" s="82" t="str">
        <f t="shared" si="269"/>
        <v>-</v>
      </c>
      <c r="CX243" s="65" t="str">
        <f t="shared" si="270"/>
        <v>valid</v>
      </c>
      <c r="CY243" s="66" t="str">
        <f t="shared" si="284"/>
        <v>MGSp</v>
      </c>
      <c r="CZ243" s="81">
        <f t="shared" si="271"/>
        <v>63.788093999999987</v>
      </c>
      <c r="DA243" s="59">
        <f t="shared" si="272"/>
        <v>22.856380999999992</v>
      </c>
      <c r="DB243" s="59">
        <f t="shared" si="273"/>
        <v>0</v>
      </c>
      <c r="DC243" s="59">
        <f t="shared" si="274"/>
        <v>22.475441316666657</v>
      </c>
      <c r="DD243" s="59">
        <f t="shared" si="275"/>
        <v>0</v>
      </c>
      <c r="DE243" s="79">
        <f t="shared" si="276"/>
        <v>66.09558247199999</v>
      </c>
      <c r="DF243" s="83">
        <f t="shared" si="277"/>
        <v>86.644474999999971</v>
      </c>
    </row>
    <row r="244" spans="2:110" ht="16.5" customHeight="1" x14ac:dyDescent="0.25">
      <c r="B244" s="47"/>
      <c r="C244" s="47" t="s">
        <v>384</v>
      </c>
      <c r="D244" s="48" t="s">
        <v>385</v>
      </c>
      <c r="E244" s="49" t="s">
        <v>386</v>
      </c>
      <c r="F244" s="50">
        <f t="shared" si="244"/>
        <v>0.99294624087797878</v>
      </c>
      <c r="G244" s="50" t="str">
        <f t="shared" ca="1" si="282"/>
        <v>No</v>
      </c>
      <c r="H244" s="51" t="str">
        <f t="shared" si="283"/>
        <v>Main - Genoa - Screacher - Spinnaker</v>
      </c>
      <c r="I244" s="52">
        <v>38433</v>
      </c>
      <c r="J244" s="52"/>
      <c r="K244" s="53" t="s">
        <v>218</v>
      </c>
      <c r="L244" s="53" t="s">
        <v>387</v>
      </c>
      <c r="M244" s="54"/>
      <c r="N244" s="55" t="s">
        <v>149</v>
      </c>
      <c r="O244" s="55" t="s">
        <v>138</v>
      </c>
      <c r="P244" s="86">
        <v>6</v>
      </c>
      <c r="Q244" s="57">
        <v>9.34</v>
      </c>
      <c r="R244" s="58"/>
      <c r="S244" s="59">
        <f t="shared" si="252"/>
        <v>0.23350000000000001</v>
      </c>
      <c r="T244" s="60">
        <v>0.12</v>
      </c>
      <c r="U244" s="60">
        <v>0</v>
      </c>
      <c r="V244" s="61">
        <f t="shared" si="253"/>
        <v>9.2200000000000006</v>
      </c>
      <c r="W244" s="62">
        <f>IF(RL&gt;0,IF(RL&gt;'Look Ups'!R$7,'Look Ups'!R$8,('Look Ups'!R$3*RL^3+'Look Ups'!R$4*RL^2+'Look Ups'!R$5*RL+'Look Ups'!R$6)),0)</f>
        <v>0.29714289578399999</v>
      </c>
      <c r="X244" s="63">
        <v>1605</v>
      </c>
      <c r="Y244" s="64"/>
      <c r="Z244" s="64"/>
      <c r="AA244" s="64"/>
      <c r="AB244" s="65">
        <f t="shared" si="254"/>
        <v>1605</v>
      </c>
      <c r="AC244" s="66">
        <f t="shared" si="255"/>
        <v>1605</v>
      </c>
      <c r="AD244" s="67" t="s">
        <v>129</v>
      </c>
      <c r="AE244" s="68" t="s">
        <v>130</v>
      </c>
      <c r="AF244" s="69" t="s">
        <v>131</v>
      </c>
      <c r="AG244" s="70">
        <f>IF(C244="",0,VLOOKUP(AD244,'Look Ups'!$B$3:$C$6,2,0)*VLOOKUP(AE244,'Look Ups'!$E$3:$F$5,2,0)*VLOOKUP(AF244,'Look Ups'!$H$3:$I$7,2,0))</f>
        <v>1</v>
      </c>
      <c r="AH244" s="71">
        <v>13.05</v>
      </c>
      <c r="AI244" s="60">
        <v>12.53</v>
      </c>
      <c r="AJ244" s="60">
        <v>3.92</v>
      </c>
      <c r="AK244" s="60">
        <v>1.1200000000000001</v>
      </c>
      <c r="AL244" s="60">
        <v>0.97</v>
      </c>
      <c r="AM244" s="60">
        <v>12.87</v>
      </c>
      <c r="AN244" s="60">
        <v>0.14000000000000001</v>
      </c>
      <c r="AO244" s="60">
        <v>4.0599999999999996</v>
      </c>
      <c r="AP244" s="60">
        <v>0</v>
      </c>
      <c r="AQ244" s="60">
        <v>0.60000000000000009</v>
      </c>
      <c r="AR244" s="60" t="s">
        <v>132</v>
      </c>
      <c r="AS244" s="75">
        <v>0</v>
      </c>
      <c r="AT244" s="59">
        <f t="shared" si="256"/>
        <v>12.87</v>
      </c>
      <c r="AU244" s="59">
        <f t="shared" si="257"/>
        <v>2.8957500000000005</v>
      </c>
      <c r="AV244" s="72">
        <f>IF(C244="",0,(0.5*(_ML1*LPM)+0.5*(_ML1*HB)+0.66*(P*PR)+0.66*(_ML2*RDM)+0.66*(E*ER))*VLOOKUP(BATT,'Look Ups'!$N$3:$O$4,2,0))</f>
        <v>42.096894000000006</v>
      </c>
      <c r="AW244" s="73"/>
      <c r="AX244" s="74"/>
      <c r="AY244" s="71">
        <v>11.24</v>
      </c>
      <c r="AZ244" s="60">
        <v>3.07</v>
      </c>
      <c r="BA244" s="60">
        <v>3.51</v>
      </c>
      <c r="BB244" s="60">
        <v>0.04</v>
      </c>
      <c r="BC244" s="60">
        <v>10.3</v>
      </c>
      <c r="BD244" s="60"/>
      <c r="BE244" s="60"/>
      <c r="BF244" s="60">
        <v>0.32</v>
      </c>
      <c r="BG244" s="60">
        <v>-0.01</v>
      </c>
      <c r="BH244" s="75"/>
      <c r="BI244" s="72">
        <f t="shared" si="258"/>
        <v>19.447240000000001</v>
      </c>
      <c r="BJ244" s="76"/>
      <c r="BK244" s="77"/>
      <c r="BL244" s="78"/>
      <c r="BM244" s="78"/>
      <c r="BN244" s="77"/>
      <c r="BO244" s="78"/>
      <c r="BP244" s="78"/>
      <c r="BQ244" s="79">
        <f t="shared" si="259"/>
        <v>0</v>
      </c>
      <c r="BR244" s="80"/>
      <c r="BS244" s="77"/>
      <c r="BT244" s="77"/>
      <c r="BU244" s="77"/>
      <c r="BV244" s="77"/>
      <c r="BW244" s="77"/>
      <c r="BX244" s="77"/>
      <c r="BY244" s="72">
        <f t="shared" si="260"/>
        <v>0</v>
      </c>
      <c r="BZ244" s="73">
        <v>8.8699999999999992</v>
      </c>
      <c r="CA244" s="60">
        <v>15.76</v>
      </c>
      <c r="CB244" s="60">
        <v>14.33</v>
      </c>
      <c r="CC244" s="60">
        <v>8.41</v>
      </c>
      <c r="CD244" s="65">
        <f t="shared" si="261"/>
        <v>94.81397970687712</v>
      </c>
      <c r="CE244" s="60">
        <v>0</v>
      </c>
      <c r="CF244" s="79">
        <f t="shared" si="262"/>
        <v>106.59382499999998</v>
      </c>
      <c r="CG244" s="71">
        <v>5.78</v>
      </c>
      <c r="CH244" s="60">
        <v>12.69</v>
      </c>
      <c r="CI244" s="60">
        <v>11</v>
      </c>
      <c r="CJ244" s="60">
        <v>2.91</v>
      </c>
      <c r="CK244" s="59">
        <f t="shared" si="278"/>
        <v>50.346020761245683</v>
      </c>
      <c r="CL244" s="60">
        <v>0</v>
      </c>
      <c r="CM244" s="72">
        <f t="shared" si="263"/>
        <v>34.389983333333333</v>
      </c>
      <c r="CN244" s="81">
        <f t="shared" si="264"/>
        <v>1</v>
      </c>
      <c r="CO244" s="59">
        <f t="shared" si="265"/>
        <v>44.992644000000006</v>
      </c>
      <c r="CP244" s="59">
        <f t="shared" si="266"/>
        <v>1</v>
      </c>
      <c r="CQ244" s="59">
        <f t="shared" si="267"/>
        <v>19.447240000000001</v>
      </c>
      <c r="CR244" s="59">
        <f>IF(AV244&gt;0,'Look Ups'!$L$3,0)</f>
        <v>1</v>
      </c>
      <c r="CS244" s="59">
        <f t="shared" si="268"/>
        <v>0</v>
      </c>
      <c r="CT244" s="59">
        <f t="shared" si="279"/>
        <v>0</v>
      </c>
      <c r="CU244" s="59">
        <f t="shared" si="280"/>
        <v>0</v>
      </c>
      <c r="CV244" s="79">
        <f t="shared" si="281"/>
        <v>0</v>
      </c>
      <c r="CW244" s="82" t="str">
        <f t="shared" si="269"/>
        <v>valid</v>
      </c>
      <c r="CX244" s="65" t="str">
        <f t="shared" si="270"/>
        <v>valid</v>
      </c>
      <c r="CY244" s="66" t="str">
        <f t="shared" si="284"/>
        <v>MGScrSp</v>
      </c>
      <c r="CZ244" s="81">
        <f t="shared" si="271"/>
        <v>64.439884000000006</v>
      </c>
      <c r="DA244" s="59">
        <f t="shared" si="272"/>
        <v>26.143975499999996</v>
      </c>
      <c r="DB244" s="59">
        <f t="shared" si="273"/>
        <v>5.2299601666666664</v>
      </c>
      <c r="DC244" s="59">
        <f t="shared" si="274"/>
        <v>25.708242574999996</v>
      </c>
      <c r="DD244" s="59">
        <f t="shared" si="275"/>
        <v>0.82185088333333334</v>
      </c>
      <c r="DE244" s="79">
        <f t="shared" si="276"/>
        <v>67.198787632000005</v>
      </c>
      <c r="DF244" s="83">
        <f t="shared" si="277"/>
        <v>90.969977458333346</v>
      </c>
    </row>
    <row r="245" spans="2:110" ht="16.5" customHeight="1" x14ac:dyDescent="0.25">
      <c r="B245" s="47"/>
      <c r="C245" s="47" t="s">
        <v>388</v>
      </c>
      <c r="D245" s="48" t="s">
        <v>164</v>
      </c>
      <c r="E245" s="49" t="s">
        <v>389</v>
      </c>
      <c r="F245" s="50">
        <f t="shared" si="244"/>
        <v>0.9745476815934182</v>
      </c>
      <c r="G245" s="50" t="str">
        <f t="shared" ca="1" si="282"/>
        <v>No</v>
      </c>
      <c r="H245" s="51" t="str">
        <f t="shared" si="283"/>
        <v>Main - Genoa - Spinnaker</v>
      </c>
      <c r="I245" s="52">
        <v>39499</v>
      </c>
      <c r="J245" s="52"/>
      <c r="K245" s="53" t="s">
        <v>153</v>
      </c>
      <c r="L245" s="53" t="s">
        <v>390</v>
      </c>
      <c r="M245" s="54"/>
      <c r="N245" s="55" t="s">
        <v>149</v>
      </c>
      <c r="O245" s="55" t="s">
        <v>138</v>
      </c>
      <c r="P245" s="56"/>
      <c r="Q245" s="57">
        <v>9.34</v>
      </c>
      <c r="R245" s="58"/>
      <c r="S245" s="59">
        <f t="shared" si="252"/>
        <v>0.23350000000000001</v>
      </c>
      <c r="T245" s="60">
        <v>0.12</v>
      </c>
      <c r="U245" s="60">
        <v>0</v>
      </c>
      <c r="V245" s="61">
        <f t="shared" si="253"/>
        <v>9.2200000000000006</v>
      </c>
      <c r="W245" s="62">
        <f>IF(RL&gt;0,IF(RL&gt;'Look Ups'!R$7,'Look Ups'!R$8,('Look Ups'!R$3*RL^3+'Look Ups'!R$4*RL^2+'Look Ups'!R$5*RL+'Look Ups'!R$6)),0)</f>
        <v>0.29714289578399999</v>
      </c>
      <c r="X245" s="63">
        <f>1730</f>
        <v>1730</v>
      </c>
      <c r="Y245" s="64"/>
      <c r="Z245" s="64"/>
      <c r="AA245" s="64"/>
      <c r="AB245" s="65">
        <f t="shared" si="254"/>
        <v>1730</v>
      </c>
      <c r="AC245" s="66">
        <f t="shared" si="255"/>
        <v>1730</v>
      </c>
      <c r="AD245" s="67" t="s">
        <v>129</v>
      </c>
      <c r="AE245" s="68" t="s">
        <v>130</v>
      </c>
      <c r="AF245" s="69" t="s">
        <v>131</v>
      </c>
      <c r="AG245" s="70">
        <f>IF(C245="",0,VLOOKUP(AD245,'Look Ups'!$B$3:$C$6,2,0)*VLOOKUP(AE245,'Look Ups'!$E$3:$F$5,2,0)*VLOOKUP(AF245,'Look Ups'!$H$3:$I$7,2,0))</f>
        <v>1</v>
      </c>
      <c r="AH245" s="71">
        <v>14.02</v>
      </c>
      <c r="AI245" s="60">
        <v>13.82</v>
      </c>
      <c r="AJ245" s="60">
        <v>3.86</v>
      </c>
      <c r="AK245" s="60">
        <v>1.44</v>
      </c>
      <c r="AL245" s="60">
        <v>0.43</v>
      </c>
      <c r="AM245" s="60">
        <v>14.13</v>
      </c>
      <c r="AN245" s="60">
        <v>0.14000000000000001</v>
      </c>
      <c r="AO245" s="60">
        <v>3.87</v>
      </c>
      <c r="AP245" s="60">
        <v>0.03</v>
      </c>
      <c r="AQ245" s="60">
        <v>0.62</v>
      </c>
      <c r="AR245" s="60" t="s">
        <v>132</v>
      </c>
      <c r="AS245" s="75"/>
      <c r="AT245" s="59">
        <f t="shared" si="256"/>
        <v>14.16</v>
      </c>
      <c r="AU245" s="59">
        <f t="shared" si="257"/>
        <v>3.2852250000000001</v>
      </c>
      <c r="AV245" s="72">
        <f>IF(C245="",0,(0.5*(_ML1*LPM)+0.5*(_ML1*HB)+0.66*(P*PR)+0.66*(_ML2*RDM)+0.66*(E*ER))*VLOOKUP(BATT,'Look Ups'!$N$3:$O$4,2,0))</f>
        <v>42.457354000000002</v>
      </c>
      <c r="AW245" s="73"/>
      <c r="AX245" s="74"/>
      <c r="AY245" s="71">
        <v>12.54</v>
      </c>
      <c r="AZ245" s="60">
        <v>3.2</v>
      </c>
      <c r="BA245" s="60">
        <v>3.43</v>
      </c>
      <c r="BB245" s="60">
        <v>0.15</v>
      </c>
      <c r="BC245" s="60">
        <v>11.75</v>
      </c>
      <c r="BD245" s="60"/>
      <c r="BE245" s="60"/>
      <c r="BF245" s="60">
        <v>0.16</v>
      </c>
      <c r="BG245" s="60">
        <v>0.05</v>
      </c>
      <c r="BH245" s="75" t="s">
        <v>165</v>
      </c>
      <c r="BI245" s="72">
        <f t="shared" si="258"/>
        <v>22.05819</v>
      </c>
      <c r="BJ245" s="76"/>
      <c r="BK245" s="77"/>
      <c r="BL245" s="78"/>
      <c r="BM245" s="78"/>
      <c r="BN245" s="77"/>
      <c r="BO245" s="78"/>
      <c r="BP245" s="78"/>
      <c r="BQ245" s="79">
        <f t="shared" si="259"/>
        <v>0</v>
      </c>
      <c r="BR245" s="80"/>
      <c r="BS245" s="77"/>
      <c r="BT245" s="77"/>
      <c r="BU245" s="77"/>
      <c r="BV245" s="77"/>
      <c r="BW245" s="77"/>
      <c r="BX245" s="77"/>
      <c r="BY245" s="72">
        <f t="shared" si="260"/>
        <v>0</v>
      </c>
      <c r="BZ245" s="73">
        <v>9.94</v>
      </c>
      <c r="CA245" s="60">
        <v>15.37</v>
      </c>
      <c r="CB245" s="60">
        <v>13.32</v>
      </c>
      <c r="CC245" s="60">
        <v>8.35</v>
      </c>
      <c r="CD245" s="65">
        <f t="shared" si="261"/>
        <v>84.00402414486922</v>
      </c>
      <c r="CE245" s="60"/>
      <c r="CF245" s="79">
        <f t="shared" si="262"/>
        <v>103.61871666666664</v>
      </c>
      <c r="CG245" s="71"/>
      <c r="CH245" s="60"/>
      <c r="CI245" s="60"/>
      <c r="CJ245" s="60"/>
      <c r="CK245" s="59" t="str">
        <f t="shared" si="278"/>
        <v/>
      </c>
      <c r="CL245" s="60"/>
      <c r="CM245" s="72">
        <f t="shared" si="263"/>
        <v>0</v>
      </c>
      <c r="CN245" s="81">
        <f t="shared" si="264"/>
        <v>1</v>
      </c>
      <c r="CO245" s="59">
        <f t="shared" si="265"/>
        <v>45.742578999999999</v>
      </c>
      <c r="CP245" s="59">
        <f t="shared" si="266"/>
        <v>1</v>
      </c>
      <c r="CQ245" s="59">
        <f t="shared" si="267"/>
        <v>22.05819</v>
      </c>
      <c r="CR245" s="59">
        <f>IF(AV245&gt;0,'Look Ups'!$L$3,0)</f>
        <v>1</v>
      </c>
      <c r="CS245" s="59">
        <f t="shared" si="268"/>
        <v>0</v>
      </c>
      <c r="CT245" s="59">
        <f t="shared" si="279"/>
        <v>0</v>
      </c>
      <c r="CU245" s="59">
        <f t="shared" si="280"/>
        <v>0</v>
      </c>
      <c r="CV245" s="79">
        <f t="shared" si="281"/>
        <v>0</v>
      </c>
      <c r="CW245" s="82" t="str">
        <f t="shared" si="269"/>
        <v>-</v>
      </c>
      <c r="CX245" s="65" t="str">
        <f t="shared" si="270"/>
        <v>valid</v>
      </c>
      <c r="CY245" s="66" t="str">
        <f t="shared" si="284"/>
        <v>MGSp</v>
      </c>
      <c r="CZ245" s="81">
        <f t="shared" si="271"/>
        <v>67.800769000000003</v>
      </c>
      <c r="DA245" s="59">
        <f t="shared" si="272"/>
        <v>24.468157999999992</v>
      </c>
      <c r="DB245" s="59">
        <f t="shared" si="273"/>
        <v>0</v>
      </c>
      <c r="DC245" s="59">
        <f t="shared" si="274"/>
        <v>24.060355366666659</v>
      </c>
      <c r="DD245" s="59">
        <f t="shared" si="275"/>
        <v>0</v>
      </c>
      <c r="DE245" s="79">
        <f t="shared" si="276"/>
        <v>70.358683012</v>
      </c>
      <c r="DF245" s="83">
        <f t="shared" si="277"/>
        <v>92.268926999999991</v>
      </c>
    </row>
    <row r="246" spans="2:110" ht="16.5" customHeight="1" x14ac:dyDescent="0.25">
      <c r="B246" s="47"/>
      <c r="C246" s="168" t="s">
        <v>712</v>
      </c>
      <c r="D246" s="169" t="s">
        <v>713</v>
      </c>
      <c r="E246" s="170" t="s">
        <v>714</v>
      </c>
      <c r="F246" s="50">
        <f t="shared" si="244"/>
        <v>0.63486946408158207</v>
      </c>
      <c r="G246" s="50" t="str">
        <f t="shared" ca="1" si="282"/>
        <v>No</v>
      </c>
      <c r="H246" s="51" t="str">
        <f t="shared" si="283"/>
        <v>Main - Genoa - Screacher - Spinnaker</v>
      </c>
      <c r="I246" s="171">
        <v>37884</v>
      </c>
      <c r="J246" s="171"/>
      <c r="K246" s="172" t="s">
        <v>630</v>
      </c>
      <c r="L246" s="172" t="s">
        <v>387</v>
      </c>
      <c r="M246" s="171"/>
      <c r="N246" s="87" t="s">
        <v>537</v>
      </c>
      <c r="O246" s="87"/>
      <c r="P246" s="174">
        <v>4.5</v>
      </c>
      <c r="Q246" s="175">
        <v>5.96</v>
      </c>
      <c r="R246" s="78"/>
      <c r="S246" s="59">
        <f t="shared" si="252"/>
        <v>0.14899999999999999</v>
      </c>
      <c r="T246" s="176">
        <v>0.4</v>
      </c>
      <c r="U246" s="176">
        <v>0</v>
      </c>
      <c r="V246" s="61">
        <f t="shared" si="253"/>
        <v>5.56</v>
      </c>
      <c r="W246" s="62">
        <f>IF(RL&gt;0,IF(RL&gt;'Look Ups'!R$7,'Look Ups'!R$8,('Look Ups'!R$3*RL^3+'Look Ups'!R$4*RL^2+'Look Ups'!R$5*RL+'Look Ups'!R$6)),0)</f>
        <v>0.28131298732800003</v>
      </c>
      <c r="X246" s="177">
        <v>850</v>
      </c>
      <c r="Y246" s="178"/>
      <c r="Z246" s="178"/>
      <c r="AA246" s="178"/>
      <c r="AB246" s="65">
        <f t="shared" si="254"/>
        <v>850</v>
      </c>
      <c r="AC246" s="66">
        <f t="shared" si="255"/>
        <v>850</v>
      </c>
      <c r="AD246" s="179" t="s">
        <v>154</v>
      </c>
      <c r="AE246" s="180" t="s">
        <v>130</v>
      </c>
      <c r="AF246" s="181" t="s">
        <v>131</v>
      </c>
      <c r="AG246" s="70">
        <f>IF(C246="",0,VLOOKUP(AD246,'Look Ups'!$B$3:$C$6,2,0)*VLOOKUP(AE246,'Look Ups'!$E$3:$F$5,2,0)*VLOOKUP(AF246,'Look Ups'!$H$3:$I$7,2,0))</f>
        <v>0.99</v>
      </c>
      <c r="AH246" s="80">
        <v>7.64</v>
      </c>
      <c r="AI246" s="77">
        <v>7.4</v>
      </c>
      <c r="AJ246" s="77">
        <v>2.27</v>
      </c>
      <c r="AK246" s="77">
        <v>0.68</v>
      </c>
      <c r="AL246" s="77">
        <v>0.78</v>
      </c>
      <c r="AM246" s="77">
        <v>7.2</v>
      </c>
      <c r="AN246" s="77">
        <v>0.05</v>
      </c>
      <c r="AO246" s="77">
        <v>2.4</v>
      </c>
      <c r="AP246" s="77">
        <v>0.03</v>
      </c>
      <c r="AQ246" s="77">
        <v>0</v>
      </c>
      <c r="AR246" s="77" t="s">
        <v>132</v>
      </c>
      <c r="AS246" s="87">
        <v>0</v>
      </c>
      <c r="AT246" s="59">
        <f t="shared" si="256"/>
        <v>7.23</v>
      </c>
      <c r="AU246" s="59">
        <f t="shared" si="257"/>
        <v>0</v>
      </c>
      <c r="AV246" s="72">
        <f>IF(C246="",0,(0.5*(_ML1*LPM)+0.5*(_ML1*HB)+0.66*(P*PR)+0.66*(_ML2*RDM)+0.66*(E*ER))*VLOOKUP(BATT,'Look Ups'!$N$3:$O$4,2,0))</f>
        <v>15.363640000000002</v>
      </c>
      <c r="AW246" s="182"/>
      <c r="AX246" s="183"/>
      <c r="AY246" s="80">
        <v>6.05</v>
      </c>
      <c r="AZ246" s="77">
        <v>2.04</v>
      </c>
      <c r="BA246" s="77">
        <v>2.1800000000000002</v>
      </c>
      <c r="BB246" s="77">
        <v>0.02</v>
      </c>
      <c r="BC246" s="77">
        <v>5.7</v>
      </c>
      <c r="BD246" s="77"/>
      <c r="BE246" s="77"/>
      <c r="BF246" s="77">
        <v>-0.04</v>
      </c>
      <c r="BG246" s="77">
        <v>-0.05</v>
      </c>
      <c r="BH246" s="87"/>
      <c r="BI246" s="72">
        <f t="shared" si="258"/>
        <v>5.8496459999999999</v>
      </c>
      <c r="BJ246" s="76"/>
      <c r="BK246" s="77"/>
      <c r="BL246" s="78"/>
      <c r="BM246" s="78"/>
      <c r="BN246" s="77"/>
      <c r="BO246" s="78"/>
      <c r="BP246" s="78"/>
      <c r="BQ246" s="79">
        <f t="shared" si="259"/>
        <v>0</v>
      </c>
      <c r="BR246" s="80"/>
      <c r="BS246" s="77"/>
      <c r="BT246" s="77"/>
      <c r="BU246" s="77"/>
      <c r="BV246" s="77"/>
      <c r="BW246" s="77"/>
      <c r="BX246" s="77"/>
      <c r="BY246" s="72">
        <f t="shared" si="260"/>
        <v>0</v>
      </c>
      <c r="BZ246" s="182">
        <v>4.66</v>
      </c>
      <c r="CA246" s="77">
        <v>8.2200000000000006</v>
      </c>
      <c r="CB246" s="77">
        <v>8.2200000000000006</v>
      </c>
      <c r="CC246" s="77">
        <v>4</v>
      </c>
      <c r="CD246" s="65">
        <f t="shared" si="261"/>
        <v>85.836909871244643</v>
      </c>
      <c r="CE246" s="77">
        <v>0</v>
      </c>
      <c r="CF246" s="79">
        <f t="shared" si="262"/>
        <v>28.304200000000002</v>
      </c>
      <c r="CG246" s="80">
        <v>4.47</v>
      </c>
      <c r="CH246" s="77">
        <v>6.93</v>
      </c>
      <c r="CI246" s="77">
        <v>6.1</v>
      </c>
      <c r="CJ246" s="77">
        <v>2.38</v>
      </c>
      <c r="CK246" s="59">
        <f t="shared" si="278"/>
        <v>53.243847874720359</v>
      </c>
      <c r="CL246" s="77">
        <v>0</v>
      </c>
      <c r="CM246" s="72">
        <f t="shared" si="263"/>
        <v>15.190808333333333</v>
      </c>
      <c r="CN246" s="81">
        <f t="shared" si="264"/>
        <v>1</v>
      </c>
      <c r="CO246" s="59">
        <f t="shared" si="265"/>
        <v>15.363640000000004</v>
      </c>
      <c r="CP246" s="59">
        <f t="shared" si="266"/>
        <v>1</v>
      </c>
      <c r="CQ246" s="59">
        <f t="shared" si="267"/>
        <v>5.8496459999999999</v>
      </c>
      <c r="CR246" s="59">
        <f>IF(AV246&gt;0,'Look Ups'!$L$3,0)</f>
        <v>1</v>
      </c>
      <c r="CS246" s="59">
        <f t="shared" si="268"/>
        <v>0</v>
      </c>
      <c r="CT246" s="59">
        <f t="shared" si="279"/>
        <v>0</v>
      </c>
      <c r="CU246" s="59">
        <f t="shared" si="280"/>
        <v>0</v>
      </c>
      <c r="CV246" s="79">
        <f t="shared" si="281"/>
        <v>0</v>
      </c>
      <c r="CW246" s="82" t="str">
        <f t="shared" si="269"/>
        <v>valid</v>
      </c>
      <c r="CX246" s="65" t="str">
        <f t="shared" si="270"/>
        <v>valid</v>
      </c>
      <c r="CY246" s="66" t="str">
        <f t="shared" si="284"/>
        <v>MGScrSp</v>
      </c>
      <c r="CZ246" s="81">
        <f t="shared" si="271"/>
        <v>21.213286000000004</v>
      </c>
      <c r="DA246" s="59">
        <f t="shared" si="272"/>
        <v>6.7363662</v>
      </c>
      <c r="DB246" s="59">
        <f t="shared" si="273"/>
        <v>3.2694068166666663</v>
      </c>
      <c r="DC246" s="59">
        <f t="shared" si="274"/>
        <v>6.6240934300000003</v>
      </c>
      <c r="DD246" s="59">
        <f t="shared" si="275"/>
        <v>0.51376392833333329</v>
      </c>
      <c r="DE246" s="79">
        <f t="shared" si="276"/>
        <v>22.240797352000005</v>
      </c>
      <c r="DF246" s="83">
        <f t="shared" si="277"/>
        <v>28.351143358333339</v>
      </c>
    </row>
    <row r="247" spans="2:110" ht="16.5" customHeight="1" x14ac:dyDescent="0.25">
      <c r="B247" s="168"/>
      <c r="C247" s="168" t="s">
        <v>715</v>
      </c>
      <c r="D247" s="184" t="s">
        <v>716</v>
      </c>
      <c r="E247" s="170" t="s">
        <v>717</v>
      </c>
      <c r="F247" s="50">
        <f t="shared" si="244"/>
        <v>0.64437742372854157</v>
      </c>
      <c r="G247" s="50" t="str">
        <f t="shared" ca="1" si="282"/>
        <v>No</v>
      </c>
      <c r="H247" s="51" t="str">
        <f t="shared" si="283"/>
        <v>Main - Genoa - Screacher</v>
      </c>
      <c r="I247" s="171">
        <v>39039</v>
      </c>
      <c r="J247" s="171">
        <v>39039</v>
      </c>
      <c r="K247" s="172" t="s">
        <v>179</v>
      </c>
      <c r="L247" s="172" t="s">
        <v>179</v>
      </c>
      <c r="M247" s="171"/>
      <c r="N247" s="87" t="s">
        <v>537</v>
      </c>
      <c r="O247" s="87"/>
      <c r="P247" s="185"/>
      <c r="Q247" s="175">
        <v>6.8</v>
      </c>
      <c r="R247" s="78"/>
      <c r="S247" s="59">
        <f t="shared" si="252"/>
        <v>0.17</v>
      </c>
      <c r="T247" s="176">
        <v>0.42</v>
      </c>
      <c r="U247" s="176">
        <v>0</v>
      </c>
      <c r="V247" s="61">
        <f t="shared" si="253"/>
        <v>6.38</v>
      </c>
      <c r="W247" s="62">
        <f>IF(RL&gt;0,IF(RL&gt;'Look Ups'!R$7,'Look Ups'!R$8,('Look Ups'!R$3*RL^3+'Look Ups'!R$4*RL^2+'Look Ups'!R$5*RL+'Look Ups'!R$6)),0)</f>
        <v>0.286493744376</v>
      </c>
      <c r="X247" s="177">
        <v>1200</v>
      </c>
      <c r="Y247" s="178">
        <v>0</v>
      </c>
      <c r="Z247" s="178"/>
      <c r="AA247" s="178"/>
      <c r="AB247" s="65">
        <f t="shared" si="254"/>
        <v>1200</v>
      </c>
      <c r="AC247" s="66">
        <f t="shared" si="255"/>
        <v>1200</v>
      </c>
      <c r="AD247" s="179" t="s">
        <v>154</v>
      </c>
      <c r="AE247" s="180" t="s">
        <v>130</v>
      </c>
      <c r="AF247" s="181" t="s">
        <v>131</v>
      </c>
      <c r="AG247" s="70">
        <f>IF(C247="",0,VLOOKUP(AD247,'Look Ups'!$B$3:$C$6,2,0)*VLOOKUP(AE247,'Look Ups'!$E$3:$F$5,2,0)*VLOOKUP(AF247,'Look Ups'!$H$3:$I$7,2,0))</f>
        <v>0.99</v>
      </c>
      <c r="AH247" s="80">
        <v>8.3699999999999992</v>
      </c>
      <c r="AI247" s="77">
        <v>8.17</v>
      </c>
      <c r="AJ247" s="77">
        <v>2.57</v>
      </c>
      <c r="AK247" s="77">
        <v>0.60000000000000009</v>
      </c>
      <c r="AL247" s="77">
        <v>0.46</v>
      </c>
      <c r="AM247" s="77">
        <v>8.3000000000000007</v>
      </c>
      <c r="AN247" s="77">
        <v>0.125</v>
      </c>
      <c r="AO247" s="77">
        <v>2.6</v>
      </c>
      <c r="AP247" s="77">
        <v>0</v>
      </c>
      <c r="AQ247" s="77">
        <v>0</v>
      </c>
      <c r="AR247" s="77" t="s">
        <v>132</v>
      </c>
      <c r="AS247" s="87">
        <v>0</v>
      </c>
      <c r="AT247" s="59">
        <f t="shared" si="256"/>
        <v>8.3000000000000007</v>
      </c>
      <c r="AU247" s="59">
        <f t="shared" si="257"/>
        <v>0</v>
      </c>
      <c r="AV247" s="72">
        <f>IF(C247="",0,(0.5*(_ML1*LPM)+0.5*(_ML1*HB)+0.66*(P*PR)+0.66*(_ML2*RDM)+0.66*(E*ER))*VLOOKUP(BATT,'Look Ups'!$N$3:$O$4,2,0))</f>
        <v>16.431611999999998</v>
      </c>
      <c r="AW247" s="182"/>
      <c r="AX247" s="183"/>
      <c r="AY247" s="80">
        <v>8.36</v>
      </c>
      <c r="AZ247" s="77">
        <v>2.8130000000000002</v>
      </c>
      <c r="BA247" s="77">
        <v>3.1</v>
      </c>
      <c r="BB247" s="77">
        <v>1.8000000000000002E-2</v>
      </c>
      <c r="BC247" s="77">
        <v>7.25</v>
      </c>
      <c r="BD247" s="77"/>
      <c r="BE247" s="77"/>
      <c r="BF247" s="77">
        <v>-1.2E-2</v>
      </c>
      <c r="BG247" s="77">
        <v>0</v>
      </c>
      <c r="BH247" s="87">
        <v>0</v>
      </c>
      <c r="BI247" s="72">
        <f t="shared" si="258"/>
        <v>11.737748</v>
      </c>
      <c r="BJ247" s="76"/>
      <c r="BK247" s="77"/>
      <c r="BL247" s="78"/>
      <c r="BM247" s="78"/>
      <c r="BN247" s="77"/>
      <c r="BO247" s="78"/>
      <c r="BP247" s="78"/>
      <c r="BQ247" s="79">
        <f t="shared" si="259"/>
        <v>0</v>
      </c>
      <c r="BR247" s="80"/>
      <c r="BS247" s="77"/>
      <c r="BT247" s="77"/>
      <c r="BU247" s="77"/>
      <c r="BV247" s="77"/>
      <c r="BW247" s="77"/>
      <c r="BX247" s="77"/>
      <c r="BY247" s="72">
        <f t="shared" si="260"/>
        <v>0</v>
      </c>
      <c r="BZ247" s="182"/>
      <c r="CA247" s="77"/>
      <c r="CB247" s="77"/>
      <c r="CC247" s="77"/>
      <c r="CD247" s="65" t="str">
        <f t="shared" si="261"/>
        <v/>
      </c>
      <c r="CE247" s="87">
        <v>0</v>
      </c>
      <c r="CF247" s="79">
        <f t="shared" si="262"/>
        <v>0</v>
      </c>
      <c r="CG247" s="80">
        <v>5.68</v>
      </c>
      <c r="CH247" s="77">
        <v>9.48</v>
      </c>
      <c r="CI247" s="77">
        <v>7.58</v>
      </c>
      <c r="CJ247" s="77">
        <v>3.83</v>
      </c>
      <c r="CK247" s="59">
        <f t="shared" si="278"/>
        <v>67.429577464788736</v>
      </c>
      <c r="CL247" s="87">
        <v>0</v>
      </c>
      <c r="CM247" s="72">
        <f t="shared" si="263"/>
        <v>29.855000000000004</v>
      </c>
      <c r="CN247" s="81">
        <f t="shared" si="264"/>
        <v>1</v>
      </c>
      <c r="CO247" s="59">
        <f t="shared" si="265"/>
        <v>16.431611999999998</v>
      </c>
      <c r="CP247" s="59">
        <f t="shared" si="266"/>
        <v>1</v>
      </c>
      <c r="CQ247" s="59">
        <f t="shared" si="267"/>
        <v>11.737748</v>
      </c>
      <c r="CR247" s="59">
        <f>IF(AV247&gt;0,'Look Ups'!$L$3,0)</f>
        <v>1</v>
      </c>
      <c r="CS247" s="59">
        <f t="shared" si="268"/>
        <v>0</v>
      </c>
      <c r="CT247" s="59">
        <f t="shared" si="279"/>
        <v>0</v>
      </c>
      <c r="CU247" s="59">
        <f t="shared" si="280"/>
        <v>0</v>
      </c>
      <c r="CV247" s="79">
        <f t="shared" si="281"/>
        <v>0</v>
      </c>
      <c r="CW247" s="82" t="str">
        <f t="shared" si="269"/>
        <v>valid</v>
      </c>
      <c r="CX247" s="65" t="str">
        <f t="shared" si="270"/>
        <v>-</v>
      </c>
      <c r="CY247" s="66" t="str">
        <f t="shared" si="284"/>
        <v>MGScr</v>
      </c>
      <c r="CZ247" s="81">
        <f t="shared" si="271"/>
        <v>28.169359999999998</v>
      </c>
      <c r="DA247" s="59">
        <f t="shared" si="272"/>
        <v>0</v>
      </c>
      <c r="DB247" s="59">
        <f t="shared" si="273"/>
        <v>6.3410382000000007</v>
      </c>
      <c r="DC247" s="59">
        <f t="shared" si="274"/>
        <v>0</v>
      </c>
      <c r="DD247" s="59">
        <f t="shared" si="275"/>
        <v>0.99644886000000021</v>
      </c>
      <c r="DE247" s="79">
        <f t="shared" si="276"/>
        <v>28.676297311999996</v>
      </c>
      <c r="DF247" s="83">
        <f t="shared" si="277"/>
        <v>34.510398199999997</v>
      </c>
    </row>
    <row r="248" spans="2:110" ht="16.5" customHeight="1" x14ac:dyDescent="0.25">
      <c r="B248" s="168"/>
      <c r="C248" s="168" t="s">
        <v>726</v>
      </c>
      <c r="D248" s="169" t="s">
        <v>727</v>
      </c>
      <c r="E248" s="170" t="s">
        <v>728</v>
      </c>
      <c r="F248" s="50">
        <f t="shared" si="244"/>
        <v>0.842564666416596</v>
      </c>
      <c r="G248" s="50" t="str">
        <f t="shared" ca="1" si="282"/>
        <v>No</v>
      </c>
      <c r="H248" s="51" t="str">
        <f t="shared" si="283"/>
        <v>Main - Genoa - Spinnaker</v>
      </c>
      <c r="I248" s="171">
        <v>35832</v>
      </c>
      <c r="J248" s="171"/>
      <c r="K248" s="172" t="s">
        <v>379</v>
      </c>
      <c r="L248" s="172" t="s">
        <v>390</v>
      </c>
      <c r="M248" s="171"/>
      <c r="N248" s="173" t="s">
        <v>149</v>
      </c>
      <c r="O248" s="173"/>
      <c r="P248" s="174">
        <v>7.9</v>
      </c>
      <c r="Q248" s="175">
        <v>12.1</v>
      </c>
      <c r="R248" s="78"/>
      <c r="S248" s="59">
        <f t="shared" si="252"/>
        <v>0.30249999999999999</v>
      </c>
      <c r="T248" s="176">
        <v>0.5</v>
      </c>
      <c r="U248" s="176">
        <v>0</v>
      </c>
      <c r="V248" s="61">
        <f t="shared" si="253"/>
        <v>11.6</v>
      </c>
      <c r="W248" s="62">
        <f>IF(RL&gt;0,IF(RL&gt;'Look Ups'!R$7,'Look Ups'!R$8,('Look Ups'!R$3*RL^3+'Look Ups'!R$4*RL^2+'Look Ups'!R$5*RL+'Look Ups'!R$6)),0)</f>
        <v>0.29982556800000004</v>
      </c>
      <c r="X248" s="177">
        <v>4789</v>
      </c>
      <c r="Y248" s="178"/>
      <c r="Z248" s="178"/>
      <c r="AA248" s="178"/>
      <c r="AB248" s="65">
        <f t="shared" si="254"/>
        <v>4789</v>
      </c>
      <c r="AC248" s="66">
        <f t="shared" si="255"/>
        <v>4789</v>
      </c>
      <c r="AD248" s="179" t="s">
        <v>129</v>
      </c>
      <c r="AE248" s="180" t="s">
        <v>130</v>
      </c>
      <c r="AF248" s="181" t="s">
        <v>161</v>
      </c>
      <c r="AG248" s="70">
        <f>IF(C248="",0,VLOOKUP(AD248,'Look Ups'!$B$3:$C$6,2,0)*VLOOKUP(AE248,'Look Ups'!$E$3:$F$5,2,0)*VLOOKUP(AF248,'Look Ups'!$H$3:$I$7,2,0))</f>
        <v>0.99</v>
      </c>
      <c r="AH248" s="80">
        <v>15.44</v>
      </c>
      <c r="AI248" s="77">
        <v>13.7</v>
      </c>
      <c r="AJ248" s="77">
        <v>4.9000000000000004</v>
      </c>
      <c r="AK248" s="77">
        <v>1.9</v>
      </c>
      <c r="AL248" s="77">
        <v>1.45</v>
      </c>
      <c r="AM248" s="77">
        <v>14.6</v>
      </c>
      <c r="AN248" s="77">
        <v>0.115</v>
      </c>
      <c r="AO248" s="77">
        <v>5.17</v>
      </c>
      <c r="AP248" s="77">
        <v>0</v>
      </c>
      <c r="AQ248" s="77">
        <v>1.2</v>
      </c>
      <c r="AR248" s="77" t="s">
        <v>132</v>
      </c>
      <c r="AS248" s="87">
        <v>0</v>
      </c>
      <c r="AT248" s="59">
        <f t="shared" si="256"/>
        <v>14.6</v>
      </c>
      <c r="AU248" s="59">
        <f t="shared" si="257"/>
        <v>6.5699999999999994</v>
      </c>
      <c r="AV248" s="72">
        <f>IF(C248="",0,(0.5*(_ML1*LPM)+0.5*(_ML1*HB)+0.66*(P*PR)+0.66*(_ML2*RDM)+0.66*(E*ER))*VLOOKUP(BATT,'Look Ups'!$N$3:$O$4,2,0))</f>
        <v>66.715040000000002</v>
      </c>
      <c r="AW248" s="182"/>
      <c r="AX248" s="183"/>
      <c r="AY248" s="80">
        <v>12.57</v>
      </c>
      <c r="AZ248" s="77">
        <v>4.9000000000000004</v>
      </c>
      <c r="BA248" s="77">
        <v>5.66</v>
      </c>
      <c r="BB248" s="77">
        <v>0.13</v>
      </c>
      <c r="BC248" s="77">
        <v>11.66</v>
      </c>
      <c r="BD248" s="77"/>
      <c r="BE248" s="77"/>
      <c r="BF248" s="77">
        <v>-0.23</v>
      </c>
      <c r="BG248" s="77">
        <v>-0.08</v>
      </c>
      <c r="BH248" s="87"/>
      <c r="BI248" s="72">
        <f t="shared" si="258"/>
        <v>28.848443999999997</v>
      </c>
      <c r="BJ248" s="76"/>
      <c r="BK248" s="77"/>
      <c r="BL248" s="78"/>
      <c r="BM248" s="78"/>
      <c r="BN248" s="77"/>
      <c r="BO248" s="78"/>
      <c r="BP248" s="78"/>
      <c r="BQ248" s="79">
        <f t="shared" si="259"/>
        <v>0</v>
      </c>
      <c r="BR248" s="80"/>
      <c r="BS248" s="77"/>
      <c r="BT248" s="77"/>
      <c r="BU248" s="77"/>
      <c r="BV248" s="77"/>
      <c r="BW248" s="77"/>
      <c r="BX248" s="77"/>
      <c r="BY248" s="72">
        <f t="shared" si="260"/>
        <v>0</v>
      </c>
      <c r="BZ248" s="182">
        <v>8.8000000000000007</v>
      </c>
      <c r="CA248" s="77">
        <v>14.12</v>
      </c>
      <c r="CB248" s="77">
        <v>14.05</v>
      </c>
      <c r="CC248" s="77">
        <v>8.9</v>
      </c>
      <c r="CD248" s="65">
        <f t="shared" si="261"/>
        <v>101.13636363636363</v>
      </c>
      <c r="CE248" s="77">
        <v>0</v>
      </c>
      <c r="CF248" s="79">
        <f t="shared" si="262"/>
        <v>104.22900000000001</v>
      </c>
      <c r="CG248" s="80"/>
      <c r="CH248" s="77"/>
      <c r="CI248" s="77"/>
      <c r="CJ248" s="77"/>
      <c r="CK248" s="59" t="str">
        <f t="shared" si="278"/>
        <v/>
      </c>
      <c r="CL248" s="77">
        <v>0</v>
      </c>
      <c r="CM248" s="72">
        <f t="shared" si="263"/>
        <v>0</v>
      </c>
      <c r="CN248" s="81">
        <f t="shared" si="264"/>
        <v>1</v>
      </c>
      <c r="CO248" s="59">
        <f t="shared" si="265"/>
        <v>73.285039999999995</v>
      </c>
      <c r="CP248" s="59">
        <f t="shared" si="266"/>
        <v>1</v>
      </c>
      <c r="CQ248" s="59">
        <f t="shared" si="267"/>
        <v>28.848443999999997</v>
      </c>
      <c r="CR248" s="59">
        <f>IF(AV248&gt;0,'Look Ups'!$L$3,0)</f>
        <v>1</v>
      </c>
      <c r="CS248" s="59">
        <f t="shared" si="268"/>
        <v>0</v>
      </c>
      <c r="CT248" s="59">
        <f t="shared" si="279"/>
        <v>0</v>
      </c>
      <c r="CU248" s="59">
        <f t="shared" si="280"/>
        <v>0</v>
      </c>
      <c r="CV248" s="79">
        <f t="shared" si="281"/>
        <v>0</v>
      </c>
      <c r="CW248" s="82" t="str">
        <f t="shared" si="269"/>
        <v>-</v>
      </c>
      <c r="CX248" s="65" t="str">
        <f t="shared" si="270"/>
        <v>valid</v>
      </c>
      <c r="CY248" s="66" t="str">
        <f t="shared" si="284"/>
        <v>MGSp</v>
      </c>
      <c r="CZ248" s="81">
        <f t="shared" si="271"/>
        <v>102.133484</v>
      </c>
      <c r="DA248" s="59">
        <f t="shared" si="272"/>
        <v>22.614166800000003</v>
      </c>
      <c r="DB248" s="59">
        <f t="shared" si="273"/>
        <v>0</v>
      </c>
      <c r="DC248" s="59">
        <f t="shared" si="274"/>
        <v>22.237264020000001</v>
      </c>
      <c r="DD248" s="59">
        <f t="shared" si="275"/>
        <v>0</v>
      </c>
      <c r="DE248" s="79">
        <f t="shared" si="276"/>
        <v>106.93263636799999</v>
      </c>
      <c r="DF248" s="83">
        <f t="shared" si="277"/>
        <v>124.7476508</v>
      </c>
    </row>
    <row r="249" spans="2:110" ht="16.5" customHeight="1" x14ac:dyDescent="0.25">
      <c r="B249" s="168"/>
      <c r="C249" s="168" t="s">
        <v>718</v>
      </c>
      <c r="D249" s="184" t="s">
        <v>626</v>
      </c>
      <c r="E249" s="170" t="s">
        <v>719</v>
      </c>
      <c r="F249" s="50">
        <f t="shared" si="244"/>
        <v>0.66429217675238683</v>
      </c>
      <c r="G249" s="50" t="str">
        <f t="shared" ca="1" si="282"/>
        <v>No</v>
      </c>
      <c r="H249" s="51" t="str">
        <f t="shared" si="283"/>
        <v>Main - Genoa - Spinnaker</v>
      </c>
      <c r="I249" s="171">
        <v>39101</v>
      </c>
      <c r="J249" s="171">
        <v>39101</v>
      </c>
      <c r="K249" s="172" t="s">
        <v>201</v>
      </c>
      <c r="L249" s="172" t="s">
        <v>137</v>
      </c>
      <c r="M249" s="171"/>
      <c r="N249" s="87" t="s">
        <v>537</v>
      </c>
      <c r="O249" s="87"/>
      <c r="P249" s="185">
        <v>4.5</v>
      </c>
      <c r="Q249" s="175">
        <v>5.92</v>
      </c>
      <c r="R249" s="78"/>
      <c r="S249" s="59">
        <f t="shared" si="252"/>
        <v>0.14799999999999999</v>
      </c>
      <c r="T249" s="176">
        <v>0.34</v>
      </c>
      <c r="U249" s="176">
        <v>0</v>
      </c>
      <c r="V249" s="61">
        <f t="shared" si="253"/>
        <v>5.58</v>
      </c>
      <c r="W249" s="62">
        <f>IF(RL&gt;0,IF(RL&gt;'Look Ups'!R$7,'Look Ups'!R$8,('Look Ups'!R$3*RL^3+'Look Ups'!R$4*RL^2+'Look Ups'!R$5*RL+'Look Ups'!R$6)),0)</f>
        <v>0.28145249669600003</v>
      </c>
      <c r="X249" s="177">
        <v>820</v>
      </c>
      <c r="Y249" s="178"/>
      <c r="Z249" s="178"/>
      <c r="AA249" s="178"/>
      <c r="AB249" s="65">
        <f t="shared" si="254"/>
        <v>820</v>
      </c>
      <c r="AC249" s="66">
        <f t="shared" si="255"/>
        <v>820</v>
      </c>
      <c r="AD249" s="179" t="s">
        <v>154</v>
      </c>
      <c r="AE249" s="180" t="s">
        <v>130</v>
      </c>
      <c r="AF249" s="181" t="s">
        <v>131</v>
      </c>
      <c r="AG249" s="70">
        <f>IF(C249="",0,VLOOKUP(AD249,'Look Ups'!$B$3:$C$6,2,0)*VLOOKUP(AE249,'Look Ups'!$E$3:$F$5,2,0)*VLOOKUP(AF249,'Look Ups'!$H$3:$I$7,2,0))</f>
        <v>0.99</v>
      </c>
      <c r="AH249" s="80">
        <v>7.48</v>
      </c>
      <c r="AI249" s="77">
        <v>7.44</v>
      </c>
      <c r="AJ249" s="77">
        <v>2.2599999999999998</v>
      </c>
      <c r="AK249" s="77">
        <v>0.76</v>
      </c>
      <c r="AL249" s="77">
        <v>0.32</v>
      </c>
      <c r="AM249" s="77">
        <v>7.17</v>
      </c>
      <c r="AN249" s="77">
        <v>0.13</v>
      </c>
      <c r="AO249" s="77">
        <v>2.39</v>
      </c>
      <c r="AP249" s="77">
        <v>0.05</v>
      </c>
      <c r="AQ249" s="77"/>
      <c r="AR249" s="77" t="s">
        <v>132</v>
      </c>
      <c r="AS249" s="87" t="s">
        <v>720</v>
      </c>
      <c r="AT249" s="59">
        <f t="shared" si="256"/>
        <v>7.22</v>
      </c>
      <c r="AU249" s="59">
        <f t="shared" si="257"/>
        <v>0</v>
      </c>
      <c r="AV249" s="72">
        <f>IF(C249="",0,(0.5*(_ML1*LPM)+0.5*(_ML1*HB)+0.66*(P*PR)+0.66*(_ML2*RDM)+0.66*(E*ER))*VLOOKUP(BATT,'Look Ups'!$N$3:$O$4,2,0))</f>
        <v>13.560183999999998</v>
      </c>
      <c r="AW249" s="182"/>
      <c r="AX249" s="183"/>
      <c r="AY249" s="80">
        <v>6.48</v>
      </c>
      <c r="AZ249" s="77">
        <v>1.9300000000000002</v>
      </c>
      <c r="BA249" s="77">
        <v>2.2200000000000002</v>
      </c>
      <c r="BB249" s="77">
        <v>0.06</v>
      </c>
      <c r="BC249" s="77">
        <v>5.74</v>
      </c>
      <c r="BD249" s="77"/>
      <c r="BE249" s="77"/>
      <c r="BF249" s="77">
        <v>0.09</v>
      </c>
      <c r="BG249" s="77">
        <v>0.05</v>
      </c>
      <c r="BH249" s="87"/>
      <c r="BI249" s="72">
        <f t="shared" si="258"/>
        <v>6.8959080000000013</v>
      </c>
      <c r="BJ249" s="76"/>
      <c r="BK249" s="77"/>
      <c r="BL249" s="78"/>
      <c r="BM249" s="78"/>
      <c r="BN249" s="77"/>
      <c r="BO249" s="78"/>
      <c r="BP249" s="78"/>
      <c r="BQ249" s="79">
        <f t="shared" si="259"/>
        <v>0</v>
      </c>
      <c r="BR249" s="80"/>
      <c r="BS249" s="77"/>
      <c r="BT249" s="77"/>
      <c r="BU249" s="77"/>
      <c r="BV249" s="77"/>
      <c r="BW249" s="77"/>
      <c r="BX249" s="77"/>
      <c r="BY249" s="72">
        <f t="shared" si="260"/>
        <v>0</v>
      </c>
      <c r="BZ249" s="182">
        <v>5.45</v>
      </c>
      <c r="CA249" s="77">
        <v>8.6</v>
      </c>
      <c r="CB249" s="77">
        <v>8.6</v>
      </c>
      <c r="CC249" s="77">
        <v>5.82</v>
      </c>
      <c r="CD249" s="65">
        <f t="shared" si="261"/>
        <v>106.78899082568807</v>
      </c>
      <c r="CE249" s="87">
        <v>0</v>
      </c>
      <c r="CF249" s="79">
        <f t="shared" si="262"/>
        <v>41.179666666666662</v>
      </c>
      <c r="CG249" s="80"/>
      <c r="CH249" s="77"/>
      <c r="CI249" s="77"/>
      <c r="CJ249" s="77"/>
      <c r="CK249" s="59" t="str">
        <f t="shared" si="278"/>
        <v/>
      </c>
      <c r="CL249" s="87">
        <v>0</v>
      </c>
      <c r="CM249" s="72">
        <f t="shared" si="263"/>
        <v>0</v>
      </c>
      <c r="CN249" s="81">
        <f t="shared" si="264"/>
        <v>1</v>
      </c>
      <c r="CO249" s="59">
        <f t="shared" si="265"/>
        <v>13.560184</v>
      </c>
      <c r="CP249" s="59">
        <f t="shared" si="266"/>
        <v>1</v>
      </c>
      <c r="CQ249" s="59">
        <f t="shared" si="267"/>
        <v>6.8959080000000013</v>
      </c>
      <c r="CR249" s="59">
        <f>IF(AV249&gt;0,'Look Ups'!$L$3,0)</f>
        <v>1</v>
      </c>
      <c r="CS249" s="59">
        <f t="shared" si="268"/>
        <v>0</v>
      </c>
      <c r="CT249" s="59">
        <f t="shared" si="279"/>
        <v>0</v>
      </c>
      <c r="CU249" s="59">
        <f t="shared" si="280"/>
        <v>0</v>
      </c>
      <c r="CV249" s="79">
        <f t="shared" si="281"/>
        <v>0</v>
      </c>
      <c r="CW249" s="82" t="str">
        <f t="shared" si="269"/>
        <v>-</v>
      </c>
      <c r="CX249" s="65" t="str">
        <f t="shared" si="270"/>
        <v>valid</v>
      </c>
      <c r="CY249" s="66" t="str">
        <f t="shared" si="284"/>
        <v>MGSp</v>
      </c>
      <c r="CZ249" s="81">
        <f t="shared" si="271"/>
        <v>20.456092000000002</v>
      </c>
      <c r="DA249" s="59">
        <f t="shared" si="272"/>
        <v>10.285127599999999</v>
      </c>
      <c r="DB249" s="59">
        <f t="shared" si="273"/>
        <v>0</v>
      </c>
      <c r="DC249" s="59">
        <f t="shared" si="274"/>
        <v>10.113708806666665</v>
      </c>
      <c r="DD249" s="59">
        <f t="shared" si="275"/>
        <v>0</v>
      </c>
      <c r="DE249" s="79">
        <f t="shared" si="276"/>
        <v>21.175833808</v>
      </c>
      <c r="DF249" s="83">
        <f t="shared" si="277"/>
        <v>30.741219600000001</v>
      </c>
    </row>
    <row r="250" spans="2:110" ht="16.5" customHeight="1" x14ac:dyDescent="0.25">
      <c r="B250" s="168"/>
      <c r="C250" s="168" t="s">
        <v>721</v>
      </c>
      <c r="D250" s="184" t="s">
        <v>722</v>
      </c>
      <c r="E250" s="170" t="s">
        <v>723</v>
      </c>
      <c r="F250" s="50">
        <f t="shared" si="244"/>
        <v>1.1419234058264904</v>
      </c>
      <c r="G250" s="50" t="str">
        <f t="shared" ca="1" si="282"/>
        <v>No</v>
      </c>
      <c r="H250" s="51" t="str">
        <f t="shared" si="283"/>
        <v>Main - Genoa - Screacher</v>
      </c>
      <c r="I250" s="171">
        <v>38073</v>
      </c>
      <c r="J250" s="171"/>
      <c r="K250" s="172" t="s">
        <v>305</v>
      </c>
      <c r="L250" s="172" t="s">
        <v>387</v>
      </c>
      <c r="M250" s="171"/>
      <c r="N250" s="87" t="s">
        <v>149</v>
      </c>
      <c r="O250" s="87"/>
      <c r="P250" s="185"/>
      <c r="Q250" s="175">
        <v>17.18</v>
      </c>
      <c r="R250" s="78"/>
      <c r="S250" s="59">
        <f t="shared" si="252"/>
        <v>0.42949999999999999</v>
      </c>
      <c r="T250" s="176">
        <v>0</v>
      </c>
      <c r="U250" s="176">
        <v>0</v>
      </c>
      <c r="V250" s="61">
        <f t="shared" si="253"/>
        <v>17.18</v>
      </c>
      <c r="W250" s="62">
        <f>IF(RL&gt;0,IF(RL&gt;'Look Ups'!R$7,'Look Ups'!R$8,('Look Ups'!R$3*RL^3+'Look Ups'!R$4*RL^2+'Look Ups'!R$5*RL+'Look Ups'!R$6)),0)</f>
        <v>0.3</v>
      </c>
      <c r="X250" s="177">
        <v>7350</v>
      </c>
      <c r="Y250" s="178"/>
      <c r="Z250" s="178"/>
      <c r="AA250" s="178"/>
      <c r="AB250" s="65">
        <f t="shared" si="254"/>
        <v>7350</v>
      </c>
      <c r="AC250" s="66">
        <f t="shared" si="255"/>
        <v>7350</v>
      </c>
      <c r="AD250" s="179" t="s">
        <v>129</v>
      </c>
      <c r="AE250" s="180" t="s">
        <v>130</v>
      </c>
      <c r="AF250" s="181" t="s">
        <v>161</v>
      </c>
      <c r="AG250" s="70">
        <f>IF(C250="",0,VLOOKUP(AD250,'Look Ups'!$B$3:$C$6,2,0)*VLOOKUP(AE250,'Look Ups'!$E$3:$F$5,2,0)*VLOOKUP(AF250,'Look Ups'!$H$3:$I$7,2,0))</f>
        <v>0.99</v>
      </c>
      <c r="AH250" s="80">
        <v>24.9</v>
      </c>
      <c r="AI250" s="77">
        <v>24.44</v>
      </c>
      <c r="AJ250" s="77">
        <v>6.63</v>
      </c>
      <c r="AK250" s="77">
        <v>2.0099999999999998</v>
      </c>
      <c r="AL250" s="77">
        <v>1.9</v>
      </c>
      <c r="AM250" s="77">
        <v>24.54</v>
      </c>
      <c r="AN250" s="77">
        <v>0.56000000000000005</v>
      </c>
      <c r="AO250" s="77">
        <v>6.68</v>
      </c>
      <c r="AP250" s="77">
        <v>7.0000000000000007E-2</v>
      </c>
      <c r="AQ250" s="77">
        <v>1.58</v>
      </c>
      <c r="AR250" s="77" t="s">
        <v>132</v>
      </c>
      <c r="AS250" s="87">
        <v>0</v>
      </c>
      <c r="AT250" s="59">
        <f t="shared" si="256"/>
        <v>24.61</v>
      </c>
      <c r="AU250" s="59">
        <f t="shared" si="257"/>
        <v>14.539950000000001</v>
      </c>
      <c r="AV250" s="72">
        <f>IF(C250="",0,(0.5*(_ML1*LPM)+0.5*(_ML1*HB)+0.66*(P*PR)+0.66*(_ML2*RDM)+0.66*(E*ER))*VLOOKUP(BATT,'Look Ups'!$N$3:$O$4,2,0))</f>
        <v>147.59435999999999</v>
      </c>
      <c r="AW250" s="182"/>
      <c r="AX250" s="183"/>
      <c r="AY250" s="80">
        <v>19.670000000000002</v>
      </c>
      <c r="AZ250" s="77">
        <v>7.19</v>
      </c>
      <c r="BA250" s="77">
        <v>6.95</v>
      </c>
      <c r="BB250" s="77">
        <v>0.12</v>
      </c>
      <c r="BC250" s="77">
        <v>17.36</v>
      </c>
      <c r="BD250" s="77"/>
      <c r="BE250" s="77"/>
      <c r="BF250" s="77">
        <v>-0.06</v>
      </c>
      <c r="BG250" s="77">
        <v>0.25</v>
      </c>
      <c r="BH250" s="87">
        <v>0</v>
      </c>
      <c r="BI250" s="72">
        <f t="shared" si="258"/>
        <v>73.822184000000007</v>
      </c>
      <c r="BJ250" s="76"/>
      <c r="BK250" s="77"/>
      <c r="BL250" s="78"/>
      <c r="BM250" s="78"/>
      <c r="BN250" s="77"/>
      <c r="BO250" s="78"/>
      <c r="BP250" s="78"/>
      <c r="BQ250" s="79">
        <f t="shared" si="259"/>
        <v>0</v>
      </c>
      <c r="BR250" s="80"/>
      <c r="BS250" s="77"/>
      <c r="BT250" s="77"/>
      <c r="BU250" s="77"/>
      <c r="BV250" s="77"/>
      <c r="BW250" s="77"/>
      <c r="BX250" s="77"/>
      <c r="BY250" s="72">
        <f t="shared" si="260"/>
        <v>0</v>
      </c>
      <c r="BZ250" s="182"/>
      <c r="CA250" s="77"/>
      <c r="CB250" s="77"/>
      <c r="CC250" s="77"/>
      <c r="CD250" s="65" t="str">
        <f t="shared" si="261"/>
        <v/>
      </c>
      <c r="CE250" s="87">
        <v>0</v>
      </c>
      <c r="CF250" s="79">
        <f t="shared" si="262"/>
        <v>0</v>
      </c>
      <c r="CG250" s="80">
        <v>13.5</v>
      </c>
      <c r="CH250" s="77">
        <v>23.6</v>
      </c>
      <c r="CI250" s="77">
        <v>21.9</v>
      </c>
      <c r="CJ250" s="77">
        <v>10</v>
      </c>
      <c r="CK250" s="59">
        <f t="shared" si="278"/>
        <v>74.074074074074076</v>
      </c>
      <c r="CL250" s="87">
        <v>0</v>
      </c>
      <c r="CM250" s="72">
        <f t="shared" si="263"/>
        <v>202.85416666666666</v>
      </c>
      <c r="CN250" s="81">
        <f t="shared" si="264"/>
        <v>1</v>
      </c>
      <c r="CO250" s="59">
        <f t="shared" si="265"/>
        <v>162.13431</v>
      </c>
      <c r="CP250" s="59">
        <f t="shared" si="266"/>
        <v>1</v>
      </c>
      <c r="CQ250" s="59">
        <f t="shared" si="267"/>
        <v>73.822184000000007</v>
      </c>
      <c r="CR250" s="59">
        <f>IF(AV250&gt;0,'Look Ups'!$L$3,0)</f>
        <v>1</v>
      </c>
      <c r="CS250" s="59">
        <f t="shared" si="268"/>
        <v>0</v>
      </c>
      <c r="CT250" s="59">
        <f t="shared" si="279"/>
        <v>0</v>
      </c>
      <c r="CU250" s="59">
        <f t="shared" si="280"/>
        <v>0</v>
      </c>
      <c r="CV250" s="79">
        <f t="shared" si="281"/>
        <v>0</v>
      </c>
      <c r="CW250" s="82" t="str">
        <f t="shared" si="269"/>
        <v>valid</v>
      </c>
      <c r="CX250" s="65" t="str">
        <f t="shared" si="270"/>
        <v>-</v>
      </c>
      <c r="CY250" s="66" t="str">
        <f t="shared" si="284"/>
        <v>MGScr</v>
      </c>
      <c r="CZ250" s="81">
        <f t="shared" si="271"/>
        <v>235.95649400000002</v>
      </c>
      <c r="DA250" s="59">
        <f t="shared" si="272"/>
        <v>0</v>
      </c>
      <c r="DB250" s="59">
        <f t="shared" si="273"/>
        <v>45.161193933333323</v>
      </c>
      <c r="DC250" s="59">
        <f t="shared" si="274"/>
        <v>0</v>
      </c>
      <c r="DD250" s="59">
        <f t="shared" si="275"/>
        <v>7.0967590466666648</v>
      </c>
      <c r="DE250" s="79">
        <f t="shared" si="276"/>
        <v>245.49420360800002</v>
      </c>
      <c r="DF250" s="83">
        <f t="shared" si="277"/>
        <v>281.11768793333334</v>
      </c>
    </row>
    <row r="251" spans="2:110" ht="16.5" customHeight="1" x14ac:dyDescent="0.25">
      <c r="B251" s="168"/>
      <c r="C251" s="168" t="s">
        <v>724</v>
      </c>
      <c r="D251" s="184"/>
      <c r="E251" s="170" t="s">
        <v>723</v>
      </c>
      <c r="F251" s="50">
        <f t="shared" si="244"/>
        <v>1.0973686374131171</v>
      </c>
      <c r="G251" s="50" t="str">
        <f t="shared" ca="1" si="282"/>
        <v>No</v>
      </c>
      <c r="H251" s="51" t="str">
        <f t="shared" si="283"/>
        <v>Main - Genoa - Spinnaker</v>
      </c>
      <c r="I251" s="171">
        <v>38731</v>
      </c>
      <c r="J251" s="171">
        <v>39521</v>
      </c>
      <c r="K251" s="172" t="s">
        <v>236</v>
      </c>
      <c r="L251" s="172" t="s">
        <v>418</v>
      </c>
      <c r="M251" s="171"/>
      <c r="N251" s="87" t="s">
        <v>149</v>
      </c>
      <c r="O251" s="87"/>
      <c r="P251" s="185"/>
      <c r="Q251" s="175">
        <v>9.36</v>
      </c>
      <c r="R251" s="78"/>
      <c r="S251" s="59">
        <f t="shared" si="252"/>
        <v>0.23399999999999999</v>
      </c>
      <c r="T251" s="176">
        <v>0.28999999999999998</v>
      </c>
      <c r="U251" s="176">
        <v>0</v>
      </c>
      <c r="V251" s="61">
        <f t="shared" si="253"/>
        <v>9.07</v>
      </c>
      <c r="W251" s="62">
        <f>IF(RL&gt;0,IF(RL&gt;'Look Ups'!R$7,'Look Ups'!R$8,('Look Ups'!R$3*RL^3+'Look Ups'!R$4*RL^2+'Look Ups'!R$5*RL+'Look Ups'!R$6)),0)</f>
        <v>0.29681684721900004</v>
      </c>
      <c r="X251" s="177">
        <v>1100</v>
      </c>
      <c r="Y251" s="178"/>
      <c r="Z251" s="178"/>
      <c r="AA251" s="178"/>
      <c r="AB251" s="65">
        <f t="shared" si="254"/>
        <v>1100</v>
      </c>
      <c r="AC251" s="66">
        <f t="shared" si="255"/>
        <v>1100</v>
      </c>
      <c r="AD251" s="179" t="s">
        <v>129</v>
      </c>
      <c r="AE251" s="180" t="s">
        <v>130</v>
      </c>
      <c r="AF251" s="181" t="s">
        <v>131</v>
      </c>
      <c r="AG251" s="70">
        <f>IF(C251="",0,VLOOKUP(AD251,'Look Ups'!$B$3:$C$6,2,0)*VLOOKUP(AE251,'Look Ups'!$E$3:$F$5,2,0)*VLOOKUP(AF251,'Look Ups'!$H$3:$I$7,2,0))</f>
        <v>1</v>
      </c>
      <c r="AH251" s="80">
        <v>14.46</v>
      </c>
      <c r="AI251" s="77">
        <v>14.14</v>
      </c>
      <c r="AJ251" s="77">
        <v>4.1449999999999996</v>
      </c>
      <c r="AK251" s="77">
        <v>1.79</v>
      </c>
      <c r="AL251" s="77">
        <v>0.4</v>
      </c>
      <c r="AM251" s="77">
        <v>13.85</v>
      </c>
      <c r="AN251" s="77">
        <v>0.17</v>
      </c>
      <c r="AO251" s="77">
        <v>4.32</v>
      </c>
      <c r="AP251" s="77">
        <v>6.5000000000000002E-2</v>
      </c>
      <c r="AQ251" s="77">
        <v>0.57000000000000006</v>
      </c>
      <c r="AR251" s="77" t="s">
        <v>132</v>
      </c>
      <c r="AS251" s="87" t="s">
        <v>725</v>
      </c>
      <c r="AT251" s="59">
        <f t="shared" si="256"/>
        <v>13.914999999999999</v>
      </c>
      <c r="AU251" s="59">
        <f t="shared" si="257"/>
        <v>2.9604375000000003</v>
      </c>
      <c r="AV251" s="72">
        <f>IF(C251="",0,(0.5*(_ML1*LPM)+0.5*(_ML1*HB)+0.66*(P*PR)+0.66*(_ML2*RDM)+0.66*(E*ER))*VLOOKUP(BATT,'Look Ups'!$N$3:$O$4,2,0))</f>
        <v>48.382307999999995</v>
      </c>
      <c r="AW251" s="182"/>
      <c r="AX251" s="183"/>
      <c r="AY251" s="80">
        <v>11.12</v>
      </c>
      <c r="AZ251" s="77">
        <v>3.05</v>
      </c>
      <c r="BA251" s="77">
        <v>3.22</v>
      </c>
      <c r="BB251" s="77">
        <v>7.0000000000000007E-2</v>
      </c>
      <c r="BC251" s="77">
        <v>10.55</v>
      </c>
      <c r="BD251" s="77"/>
      <c r="BE251" s="77"/>
      <c r="BF251" s="77">
        <v>-0.105</v>
      </c>
      <c r="BG251" s="77">
        <v>0.13</v>
      </c>
      <c r="BH251" s="87">
        <v>0</v>
      </c>
      <c r="BI251" s="72">
        <f t="shared" si="258"/>
        <v>17.329744999999999</v>
      </c>
      <c r="BJ251" s="76"/>
      <c r="BK251" s="77"/>
      <c r="BL251" s="78"/>
      <c r="BM251" s="78"/>
      <c r="BN251" s="77"/>
      <c r="BO251" s="78"/>
      <c r="BP251" s="78"/>
      <c r="BQ251" s="79">
        <f t="shared" si="259"/>
        <v>0</v>
      </c>
      <c r="BR251" s="80"/>
      <c r="BS251" s="77"/>
      <c r="BT251" s="77"/>
      <c r="BU251" s="77"/>
      <c r="BV251" s="77"/>
      <c r="BW251" s="77"/>
      <c r="BX251" s="77"/>
      <c r="BY251" s="72">
        <f t="shared" si="260"/>
        <v>0</v>
      </c>
      <c r="BZ251" s="182">
        <v>8.8699999999999992</v>
      </c>
      <c r="CA251" s="77">
        <v>13.98</v>
      </c>
      <c r="CB251" s="77">
        <v>12.56</v>
      </c>
      <c r="CC251" s="77">
        <v>6.7</v>
      </c>
      <c r="CD251" s="65">
        <f t="shared" si="261"/>
        <v>75.535512965050742</v>
      </c>
      <c r="CE251" s="87">
        <v>0</v>
      </c>
      <c r="CF251" s="79">
        <f t="shared" si="262"/>
        <v>78.890149999999991</v>
      </c>
      <c r="CG251" s="80"/>
      <c r="CH251" s="77">
        <v>0</v>
      </c>
      <c r="CI251" s="77">
        <v>0</v>
      </c>
      <c r="CJ251" s="77">
        <v>0</v>
      </c>
      <c r="CK251" s="59" t="str">
        <f t="shared" si="278"/>
        <v/>
      </c>
      <c r="CL251" s="87">
        <v>0</v>
      </c>
      <c r="CM251" s="72">
        <f t="shared" si="263"/>
        <v>0</v>
      </c>
      <c r="CN251" s="81">
        <f t="shared" si="264"/>
        <v>1</v>
      </c>
      <c r="CO251" s="59">
        <f t="shared" si="265"/>
        <v>51.342745499999992</v>
      </c>
      <c r="CP251" s="59">
        <f t="shared" si="266"/>
        <v>1</v>
      </c>
      <c r="CQ251" s="59">
        <f t="shared" si="267"/>
        <v>17.329744999999999</v>
      </c>
      <c r="CR251" s="59">
        <f>IF(AV251&gt;0,'Look Ups'!$L$3,0)</f>
        <v>1</v>
      </c>
      <c r="CS251" s="59">
        <f t="shared" si="268"/>
        <v>0</v>
      </c>
      <c r="CT251" s="59">
        <f t="shared" si="279"/>
        <v>0</v>
      </c>
      <c r="CU251" s="59">
        <f t="shared" si="280"/>
        <v>0</v>
      </c>
      <c r="CV251" s="79">
        <f t="shared" si="281"/>
        <v>0</v>
      </c>
      <c r="CW251" s="82" t="str">
        <f t="shared" si="269"/>
        <v>-</v>
      </c>
      <c r="CX251" s="65" t="str">
        <f t="shared" si="270"/>
        <v>valid</v>
      </c>
      <c r="CY251" s="66" t="str">
        <f t="shared" si="284"/>
        <v>MGSp</v>
      </c>
      <c r="CZ251" s="81">
        <f t="shared" si="271"/>
        <v>68.672490499999995</v>
      </c>
      <c r="DA251" s="59">
        <f t="shared" si="272"/>
        <v>18.468121499999995</v>
      </c>
      <c r="DB251" s="59">
        <f t="shared" si="273"/>
        <v>0</v>
      </c>
      <c r="DC251" s="59">
        <f t="shared" si="274"/>
        <v>18.160319474999994</v>
      </c>
      <c r="DD251" s="59">
        <f t="shared" si="275"/>
        <v>0</v>
      </c>
      <c r="DE251" s="79">
        <f t="shared" si="276"/>
        <v>72.345894553999997</v>
      </c>
      <c r="DF251" s="83">
        <f t="shared" si="277"/>
        <v>87.14061199999999</v>
      </c>
    </row>
    <row r="252" spans="2:110" ht="16.5" customHeight="1" x14ac:dyDescent="0.25">
      <c r="B252" s="168"/>
      <c r="C252" s="168" t="s">
        <v>729</v>
      </c>
      <c r="D252" s="184" t="s">
        <v>170</v>
      </c>
      <c r="E252" s="170" t="s">
        <v>312</v>
      </c>
      <c r="F252" s="50">
        <f t="shared" si="244"/>
        <v>0.85755354198851175</v>
      </c>
      <c r="G252" s="50" t="str">
        <f t="shared" ca="1" si="282"/>
        <v>No</v>
      </c>
      <c r="H252" s="51" t="str">
        <f t="shared" si="283"/>
        <v>Main - Genoa - Spinnaker</v>
      </c>
      <c r="I252" s="171">
        <v>39751</v>
      </c>
      <c r="J252" s="171">
        <v>39906</v>
      </c>
      <c r="K252" s="172" t="s">
        <v>730</v>
      </c>
      <c r="L252" s="172" t="s">
        <v>143</v>
      </c>
      <c r="M252" s="171"/>
      <c r="N252" s="87" t="s">
        <v>537</v>
      </c>
      <c r="O252" s="87"/>
      <c r="P252" s="185"/>
      <c r="Q252" s="175">
        <v>7.32</v>
      </c>
      <c r="R252" s="78"/>
      <c r="S252" s="59">
        <f t="shared" si="252"/>
        <v>0.18300000000000002</v>
      </c>
      <c r="T252" s="176">
        <v>0.14000000000000001</v>
      </c>
      <c r="U252" s="176"/>
      <c r="V252" s="61">
        <f t="shared" si="253"/>
        <v>7.1800000000000006</v>
      </c>
      <c r="W252" s="62">
        <f>IF(RL&gt;0,IF(RL&gt;'Look Ups'!R$7,'Look Ups'!R$8,('Look Ups'!R$3*RL^3+'Look Ups'!R$4*RL^2+'Look Ups'!R$5*RL+'Look Ups'!R$6)),0)</f>
        <v>0.29055146565600004</v>
      </c>
      <c r="X252" s="177">
        <v>960</v>
      </c>
      <c r="Y252" s="178"/>
      <c r="Z252" s="178"/>
      <c r="AA252" s="178"/>
      <c r="AB252" s="65">
        <f t="shared" si="254"/>
        <v>960</v>
      </c>
      <c r="AC252" s="66">
        <f t="shared" si="255"/>
        <v>960</v>
      </c>
      <c r="AD252" s="179" t="s">
        <v>129</v>
      </c>
      <c r="AE252" s="180" t="s">
        <v>130</v>
      </c>
      <c r="AF252" s="181" t="s">
        <v>131</v>
      </c>
      <c r="AG252" s="70">
        <f>IF(C252="",0,VLOOKUP(AD252,'Look Ups'!$B$3:$C$6,2,0)*VLOOKUP(AE252,'Look Ups'!$E$3:$F$5,2,0)*VLOOKUP(AF252,'Look Ups'!$H$3:$I$7,2,0))</f>
        <v>1</v>
      </c>
      <c r="AH252" s="80">
        <v>10.14</v>
      </c>
      <c r="AI252" s="77">
        <v>9.9</v>
      </c>
      <c r="AJ252" s="77">
        <v>3.12</v>
      </c>
      <c r="AK252" s="77">
        <v>0.7</v>
      </c>
      <c r="AL252" s="77">
        <v>0.69</v>
      </c>
      <c r="AM252" s="77">
        <v>9.7799999999999994</v>
      </c>
      <c r="AN252" s="77">
        <v>0.1</v>
      </c>
      <c r="AO252" s="77">
        <v>3.26</v>
      </c>
      <c r="AP252" s="77">
        <v>0</v>
      </c>
      <c r="AQ252" s="77">
        <v>0.49</v>
      </c>
      <c r="AR252" s="77" t="s">
        <v>132</v>
      </c>
      <c r="AS252" s="87"/>
      <c r="AT252" s="59">
        <f t="shared" si="256"/>
        <v>9.7799999999999994</v>
      </c>
      <c r="AU252" s="59">
        <f t="shared" si="257"/>
        <v>1.7970749999999998</v>
      </c>
      <c r="AV252" s="72">
        <f>IF(C252="",0,(0.5*(_ML1*LPM)+0.5*(_ML1*HB)+0.66*(P*PR)+0.66*(_ML2*RDM)+0.66*(E*ER))*VLOOKUP(BATT,'Look Ups'!$N$3:$O$4,2,0))</f>
        <v>24.521340000000002</v>
      </c>
      <c r="AW252" s="182"/>
      <c r="AX252" s="183"/>
      <c r="AY252" s="80">
        <v>8.8699999999999992</v>
      </c>
      <c r="AZ252" s="77">
        <v>2.5499999999999998</v>
      </c>
      <c r="BA252" s="77">
        <v>2.89</v>
      </c>
      <c r="BB252" s="77">
        <v>0.13</v>
      </c>
      <c r="BC252" s="77">
        <v>7.97</v>
      </c>
      <c r="BD252" s="77"/>
      <c r="BE252" s="77"/>
      <c r="BF252" s="77">
        <v>0.30000000000000004</v>
      </c>
      <c r="BG252" s="77">
        <v>0</v>
      </c>
      <c r="BH252" s="87"/>
      <c r="BI252" s="72">
        <f t="shared" si="258"/>
        <v>13.135271999999999</v>
      </c>
      <c r="BJ252" s="76"/>
      <c r="BK252" s="77"/>
      <c r="BL252" s="78"/>
      <c r="BM252" s="78"/>
      <c r="BN252" s="77"/>
      <c r="BO252" s="78"/>
      <c r="BP252" s="78"/>
      <c r="BQ252" s="79">
        <f t="shared" si="259"/>
        <v>0</v>
      </c>
      <c r="BR252" s="80"/>
      <c r="BS252" s="77"/>
      <c r="BT252" s="77"/>
      <c r="BU252" s="77"/>
      <c r="BV252" s="77"/>
      <c r="BW252" s="77"/>
      <c r="BX252" s="77"/>
      <c r="BY252" s="72">
        <f t="shared" si="260"/>
        <v>0</v>
      </c>
      <c r="BZ252" s="182">
        <v>6.94</v>
      </c>
      <c r="CA252" s="77">
        <v>11.6</v>
      </c>
      <c r="CB252" s="77">
        <v>10.119999999999999</v>
      </c>
      <c r="CC252" s="77">
        <v>5.7</v>
      </c>
      <c r="CD252" s="65">
        <f t="shared" si="261"/>
        <v>82.132564841498549</v>
      </c>
      <c r="CE252" s="87"/>
      <c r="CF252" s="79">
        <f t="shared" si="262"/>
        <v>53.829399999999993</v>
      </c>
      <c r="CG252" s="80"/>
      <c r="CH252" s="77"/>
      <c r="CI252" s="77"/>
      <c r="CJ252" s="77"/>
      <c r="CK252" s="59" t="str">
        <f t="shared" si="278"/>
        <v/>
      </c>
      <c r="CL252" s="87"/>
      <c r="CM252" s="72">
        <f t="shared" si="263"/>
        <v>0</v>
      </c>
      <c r="CN252" s="81">
        <f t="shared" si="264"/>
        <v>1</v>
      </c>
      <c r="CO252" s="59">
        <f t="shared" si="265"/>
        <v>26.318415000000002</v>
      </c>
      <c r="CP252" s="59">
        <f t="shared" si="266"/>
        <v>1</v>
      </c>
      <c r="CQ252" s="59">
        <f t="shared" si="267"/>
        <v>13.135271999999999</v>
      </c>
      <c r="CR252" s="59">
        <f>IF(AV252&gt;0,'Look Ups'!$L$3,0)</f>
        <v>1</v>
      </c>
      <c r="CS252" s="59">
        <f t="shared" si="268"/>
        <v>0</v>
      </c>
      <c r="CT252" s="59">
        <f t="shared" si="279"/>
        <v>0</v>
      </c>
      <c r="CU252" s="59">
        <f t="shared" si="280"/>
        <v>0</v>
      </c>
      <c r="CV252" s="79">
        <f t="shared" si="281"/>
        <v>0</v>
      </c>
      <c r="CW252" s="82" t="str">
        <f t="shared" si="269"/>
        <v>-</v>
      </c>
      <c r="CX252" s="65" t="str">
        <f t="shared" si="270"/>
        <v>valid</v>
      </c>
      <c r="CY252" s="66" t="str">
        <f t="shared" si="284"/>
        <v>MGSp</v>
      </c>
      <c r="CZ252" s="81">
        <f t="shared" si="271"/>
        <v>39.453687000000002</v>
      </c>
      <c r="DA252" s="59">
        <f t="shared" si="272"/>
        <v>12.208238399999997</v>
      </c>
      <c r="DB252" s="59">
        <f t="shared" si="273"/>
        <v>0</v>
      </c>
      <c r="DC252" s="59">
        <f t="shared" si="274"/>
        <v>12.004767759999996</v>
      </c>
      <c r="DD252" s="59">
        <f t="shared" si="275"/>
        <v>0</v>
      </c>
      <c r="DE252" s="79">
        <f t="shared" si="276"/>
        <v>40.877466444</v>
      </c>
      <c r="DF252" s="83">
        <f t="shared" si="277"/>
        <v>51.661925400000001</v>
      </c>
    </row>
    <row r="253" spans="2:110" ht="18" customHeight="1" x14ac:dyDescent="0.25">
      <c r="B253" s="168"/>
      <c r="C253" s="47" t="s">
        <v>886</v>
      </c>
      <c r="D253" s="48" t="s">
        <v>170</v>
      </c>
      <c r="E253" s="49" t="s">
        <v>871</v>
      </c>
      <c r="F253" s="50">
        <f t="shared" si="244"/>
        <v>0.8684613946307328</v>
      </c>
      <c r="G253" s="50" t="str">
        <f t="shared" ca="1" si="282"/>
        <v>No</v>
      </c>
      <c r="H253" s="51" t="str">
        <f t="shared" si="283"/>
        <v>Main - Genoa - Spinnaker</v>
      </c>
      <c r="I253" s="52">
        <v>38631</v>
      </c>
      <c r="J253" s="52">
        <v>39346</v>
      </c>
      <c r="K253" s="53" t="s">
        <v>518</v>
      </c>
      <c r="L253" s="53" t="s">
        <v>387</v>
      </c>
      <c r="M253" s="54"/>
      <c r="N253" s="55" t="s">
        <v>127</v>
      </c>
      <c r="O253" s="55" t="s">
        <v>128</v>
      </c>
      <c r="P253" s="56"/>
      <c r="Q253" s="57">
        <v>7.34</v>
      </c>
      <c r="R253" s="58"/>
      <c r="S253" s="59">
        <f t="shared" si="252"/>
        <v>0.1835</v>
      </c>
      <c r="T253" s="60">
        <v>0.15</v>
      </c>
      <c r="U253" s="60">
        <v>0</v>
      </c>
      <c r="V253" s="61">
        <f t="shared" si="253"/>
        <v>7.1899999999999995</v>
      </c>
      <c r="W253" s="62">
        <f>IF(RL&gt;0,IF(RL&gt;'Look Ups'!R$7,'Look Ups'!R$8,('Look Ups'!R$3*RL^3+'Look Ups'!R$4*RL^2+'Look Ups'!R$5*RL+'Look Ups'!R$6)),0)</f>
        <v>0.29059639364700002</v>
      </c>
      <c r="X253" s="63">
        <v>950</v>
      </c>
      <c r="Y253" s="64"/>
      <c r="Z253" s="64"/>
      <c r="AA253" s="64"/>
      <c r="AB253" s="65">
        <f t="shared" si="254"/>
        <v>950</v>
      </c>
      <c r="AC253" s="66">
        <f t="shared" si="255"/>
        <v>950</v>
      </c>
      <c r="AD253" s="67" t="s">
        <v>129</v>
      </c>
      <c r="AE253" s="68" t="s">
        <v>130</v>
      </c>
      <c r="AF253" s="69" t="s">
        <v>131</v>
      </c>
      <c r="AG253" s="70">
        <f>IF(C253="",0,VLOOKUP(AD253,'Look Ups'!$B$3:$C$6,2,0)*VLOOKUP(AE253,'Look Ups'!$E$3:$F$5,2,0)*VLOOKUP(AF253,'Look Ups'!$H$3:$I$7,2,0))</f>
        <v>1</v>
      </c>
      <c r="AH253" s="71">
        <v>10.24</v>
      </c>
      <c r="AI253" s="60">
        <v>10.02</v>
      </c>
      <c r="AJ253" s="60">
        <v>3.05</v>
      </c>
      <c r="AK253" s="60">
        <v>0.73</v>
      </c>
      <c r="AL253" s="60">
        <v>0.75</v>
      </c>
      <c r="AM253" s="60">
        <v>9.7899999999999991</v>
      </c>
      <c r="AN253" s="60">
        <v>0.09</v>
      </c>
      <c r="AO253" s="60">
        <v>3.22</v>
      </c>
      <c r="AP253" s="60">
        <v>0.05</v>
      </c>
      <c r="AQ253" s="60">
        <v>0.5</v>
      </c>
      <c r="AR253" s="60" t="s">
        <v>132</v>
      </c>
      <c r="AS253" s="75">
        <v>0</v>
      </c>
      <c r="AT253" s="59">
        <f t="shared" si="256"/>
        <v>9.84</v>
      </c>
      <c r="AU253" s="59">
        <f t="shared" si="257"/>
        <v>1.8356249999999998</v>
      </c>
      <c r="AV253" s="72">
        <f>IF(C253="",0,(0.5*(_ML1*LPM)+0.5*(_ML1*HB)+0.66*(P*PR)+0.66*(_ML2*RDM)+0.66*(E*ER))*VLOOKUP(BATT,'Look Ups'!$N$3:$O$4,2,0))</f>
        <v>25.001286</v>
      </c>
      <c r="AW253" s="73"/>
      <c r="AX253" s="74"/>
      <c r="AY253" s="71">
        <v>8.9700000000000006</v>
      </c>
      <c r="AZ253" s="60">
        <v>2.56</v>
      </c>
      <c r="BA253" s="60">
        <v>2.9</v>
      </c>
      <c r="BB253" s="60">
        <v>7.0000000000000007E-2</v>
      </c>
      <c r="BC253" s="60">
        <v>8.02</v>
      </c>
      <c r="BD253" s="60"/>
      <c r="BE253" s="60"/>
      <c r="BF253" s="60">
        <v>0.28000000000000003</v>
      </c>
      <c r="BG253" s="60">
        <v>0.01</v>
      </c>
      <c r="BH253" s="75">
        <v>0</v>
      </c>
      <c r="BI253" s="72">
        <f t="shared" si="258"/>
        <v>13.156878000000001</v>
      </c>
      <c r="BJ253" s="76"/>
      <c r="BK253" s="77"/>
      <c r="BL253" s="78"/>
      <c r="BM253" s="78"/>
      <c r="BN253" s="77"/>
      <c r="BO253" s="78"/>
      <c r="BP253" s="78"/>
      <c r="BQ253" s="79">
        <f t="shared" si="259"/>
        <v>0</v>
      </c>
      <c r="BR253" s="80"/>
      <c r="BS253" s="77"/>
      <c r="BT253" s="77"/>
      <c r="BU253" s="77"/>
      <c r="BV253" s="77"/>
      <c r="BW253" s="77"/>
      <c r="BX253" s="77"/>
      <c r="BY253" s="72">
        <f t="shared" si="260"/>
        <v>0</v>
      </c>
      <c r="BZ253" s="73">
        <v>6.95</v>
      </c>
      <c r="CA253" s="60">
        <v>11.8</v>
      </c>
      <c r="CB253" s="60">
        <v>10.7</v>
      </c>
      <c r="CC253" s="60">
        <v>5.71</v>
      </c>
      <c r="CD253" s="65">
        <f t="shared" si="261"/>
        <v>82.158273381294961</v>
      </c>
      <c r="CE253" s="60">
        <v>0</v>
      </c>
      <c r="CF253" s="79">
        <f t="shared" si="262"/>
        <v>55.856250000000003</v>
      </c>
      <c r="CG253" s="71"/>
      <c r="CH253" s="60"/>
      <c r="CI253" s="60"/>
      <c r="CJ253" s="60"/>
      <c r="CK253" s="59" t="str">
        <f t="shared" si="278"/>
        <v/>
      </c>
      <c r="CL253" s="60">
        <v>0</v>
      </c>
      <c r="CM253" s="72">
        <f t="shared" si="263"/>
        <v>0</v>
      </c>
      <c r="CN253" s="81">
        <f t="shared" si="264"/>
        <v>1</v>
      </c>
      <c r="CO253" s="59">
        <f t="shared" si="265"/>
        <v>26.836911000000001</v>
      </c>
      <c r="CP253" s="59">
        <f t="shared" si="266"/>
        <v>1</v>
      </c>
      <c r="CQ253" s="59">
        <f t="shared" si="267"/>
        <v>13.156878000000001</v>
      </c>
      <c r="CR253" s="59">
        <f>IF(AV253&gt;0,'Look Ups'!$L$3,0)</f>
        <v>1</v>
      </c>
      <c r="CS253" s="59">
        <f t="shared" si="268"/>
        <v>0</v>
      </c>
      <c r="CT253" s="59">
        <f t="shared" si="279"/>
        <v>0</v>
      </c>
      <c r="CU253" s="59">
        <f t="shared" si="280"/>
        <v>0</v>
      </c>
      <c r="CV253" s="79">
        <f t="shared" si="281"/>
        <v>0</v>
      </c>
      <c r="CW253" s="82" t="str">
        <f t="shared" si="269"/>
        <v>-</v>
      </c>
      <c r="CX253" s="65" t="str">
        <f t="shared" si="270"/>
        <v>valid</v>
      </c>
      <c r="CY253" s="66" t="str">
        <f t="shared" si="284"/>
        <v>MGSp</v>
      </c>
      <c r="CZ253" s="81">
        <f t="shared" si="271"/>
        <v>39.993789</v>
      </c>
      <c r="DA253" s="59">
        <f t="shared" si="272"/>
        <v>12.809811600000002</v>
      </c>
      <c r="DB253" s="59">
        <f t="shared" si="273"/>
        <v>0</v>
      </c>
      <c r="DC253" s="59">
        <f t="shared" si="274"/>
        <v>12.59631474</v>
      </c>
      <c r="DD253" s="59">
        <f t="shared" si="275"/>
        <v>0</v>
      </c>
      <c r="DE253" s="79">
        <f t="shared" si="276"/>
        <v>41.471232563999997</v>
      </c>
      <c r="DF253" s="83">
        <f t="shared" si="277"/>
        <v>52.803600600000003</v>
      </c>
    </row>
    <row r="254" spans="2:110" ht="16.5" customHeight="1" x14ac:dyDescent="0.25">
      <c r="B254" s="47"/>
      <c r="C254" s="168" t="s">
        <v>731</v>
      </c>
      <c r="D254" s="169" t="s">
        <v>732</v>
      </c>
      <c r="E254" s="170" t="s">
        <v>733</v>
      </c>
      <c r="F254" s="50">
        <f t="shared" si="244"/>
        <v>0.83978785018609392</v>
      </c>
      <c r="G254" s="50" t="str">
        <f t="shared" ca="1" si="282"/>
        <v>No</v>
      </c>
      <c r="H254" s="51" t="str">
        <f t="shared" si="283"/>
        <v>Main - Genoa - Spinnaker</v>
      </c>
      <c r="I254" s="171">
        <v>36192</v>
      </c>
      <c r="J254" s="171"/>
      <c r="K254" s="172" t="s">
        <v>299</v>
      </c>
      <c r="L254" s="172" t="s">
        <v>390</v>
      </c>
      <c r="M254" s="171"/>
      <c r="N254" s="173" t="s">
        <v>149</v>
      </c>
      <c r="O254" s="173"/>
      <c r="P254" s="174">
        <v>8.1</v>
      </c>
      <c r="Q254" s="175">
        <v>12.93</v>
      </c>
      <c r="R254" s="78"/>
      <c r="S254" s="59">
        <f t="shared" si="252"/>
        <v>0.32325000000000004</v>
      </c>
      <c r="T254" s="176">
        <v>0</v>
      </c>
      <c r="U254" s="176">
        <v>0</v>
      </c>
      <c r="V254" s="61">
        <f t="shared" si="253"/>
        <v>12.93</v>
      </c>
      <c r="W254" s="62">
        <f>IF(RL&gt;0,IF(RL&gt;'Look Ups'!R$7,'Look Ups'!R$8,('Look Ups'!R$3*RL^3+'Look Ups'!R$4*RL^2+'Look Ups'!R$5*RL+'Look Ups'!R$6)),0)</f>
        <v>0.3</v>
      </c>
      <c r="X254" s="177">
        <v>7046</v>
      </c>
      <c r="Y254" s="178">
        <v>0</v>
      </c>
      <c r="Z254" s="178"/>
      <c r="AA254" s="178"/>
      <c r="AB254" s="65">
        <f t="shared" si="254"/>
        <v>7046</v>
      </c>
      <c r="AC254" s="66">
        <f t="shared" si="255"/>
        <v>7046</v>
      </c>
      <c r="AD254" s="179" t="s">
        <v>129</v>
      </c>
      <c r="AE254" s="180" t="s">
        <v>130</v>
      </c>
      <c r="AF254" s="181" t="s">
        <v>161</v>
      </c>
      <c r="AG254" s="70">
        <f>IF(C254="",0,VLOOKUP(AD254,'Look Ups'!$B$3:$C$6,2,0)*VLOOKUP(AE254,'Look Ups'!$E$3:$F$5,2,0)*VLOOKUP(AF254,'Look Ups'!$H$3:$I$7,2,0))</f>
        <v>0.99</v>
      </c>
      <c r="AH254" s="80">
        <v>17.899999999999999</v>
      </c>
      <c r="AI254" s="77">
        <v>17.8</v>
      </c>
      <c r="AJ254" s="77">
        <v>5.68</v>
      </c>
      <c r="AK254" s="77">
        <v>0.23</v>
      </c>
      <c r="AL254" s="77">
        <v>1.84</v>
      </c>
      <c r="AM254" s="77">
        <v>17.3</v>
      </c>
      <c r="AN254" s="77">
        <v>0.14000000000000001</v>
      </c>
      <c r="AO254" s="77">
        <v>5.83</v>
      </c>
      <c r="AP254" s="77">
        <v>0.05</v>
      </c>
      <c r="AQ254" s="77"/>
      <c r="AR254" s="77" t="s">
        <v>132</v>
      </c>
      <c r="AS254" s="87">
        <v>0</v>
      </c>
      <c r="AT254" s="59">
        <f t="shared" si="256"/>
        <v>17.350000000000001</v>
      </c>
      <c r="AU254" s="59">
        <f t="shared" si="257"/>
        <v>0</v>
      </c>
      <c r="AV254" s="72">
        <f>IF(C254="",0,(0.5*(_ML1*LPM)+0.5*(_ML1*HB)+0.66*(P*PR)+0.66*(_ML2*RDM)+0.66*(E*ER))*VLOOKUP(BATT,'Look Ups'!$N$3:$O$4,2,0))</f>
        <v>76.301730000000006</v>
      </c>
      <c r="AW254" s="182"/>
      <c r="AX254" s="183"/>
      <c r="AY254" s="80">
        <v>15.4</v>
      </c>
      <c r="AZ254" s="77">
        <v>6.1310000000000002</v>
      </c>
      <c r="BA254" s="77">
        <v>6.6</v>
      </c>
      <c r="BB254" s="77">
        <v>0.114</v>
      </c>
      <c r="BC254" s="77">
        <v>14.4</v>
      </c>
      <c r="BD254" s="77"/>
      <c r="BE254" s="77"/>
      <c r="BF254" s="77">
        <v>-0.53</v>
      </c>
      <c r="BG254" s="77">
        <v>-0.18</v>
      </c>
      <c r="BH254" s="87"/>
      <c r="BI254" s="72">
        <f t="shared" si="258"/>
        <v>40.838643999999995</v>
      </c>
      <c r="BJ254" s="76"/>
      <c r="BK254" s="77"/>
      <c r="BL254" s="78"/>
      <c r="BM254" s="78"/>
      <c r="BN254" s="77"/>
      <c r="BO254" s="78"/>
      <c r="BP254" s="78"/>
      <c r="BQ254" s="79">
        <f t="shared" si="259"/>
        <v>0</v>
      </c>
      <c r="BR254" s="80"/>
      <c r="BS254" s="77"/>
      <c r="BT254" s="77"/>
      <c r="BU254" s="77"/>
      <c r="BV254" s="77"/>
      <c r="BW254" s="77"/>
      <c r="BX254" s="77"/>
      <c r="BY254" s="72">
        <f t="shared" si="260"/>
        <v>0</v>
      </c>
      <c r="BZ254" s="182">
        <v>9.5</v>
      </c>
      <c r="CA254" s="77">
        <v>21.5</v>
      </c>
      <c r="CB254" s="77">
        <v>19.5</v>
      </c>
      <c r="CC254" s="77">
        <v>10.07</v>
      </c>
      <c r="CD254" s="65">
        <f t="shared" si="261"/>
        <v>106</v>
      </c>
      <c r="CE254" s="77">
        <v>0</v>
      </c>
      <c r="CF254" s="79">
        <f t="shared" si="262"/>
        <v>170.08166666666665</v>
      </c>
      <c r="CG254" s="80"/>
      <c r="CH254" s="77"/>
      <c r="CI254" s="77"/>
      <c r="CJ254" s="77"/>
      <c r="CK254" s="59" t="str">
        <f t="shared" si="278"/>
        <v/>
      </c>
      <c r="CL254" s="77">
        <v>0</v>
      </c>
      <c r="CM254" s="72">
        <f t="shared" si="263"/>
        <v>0</v>
      </c>
      <c r="CN254" s="81">
        <f t="shared" si="264"/>
        <v>1</v>
      </c>
      <c r="CO254" s="59">
        <f t="shared" si="265"/>
        <v>76.301730000000006</v>
      </c>
      <c r="CP254" s="59">
        <f t="shared" si="266"/>
        <v>1</v>
      </c>
      <c r="CQ254" s="59">
        <f t="shared" si="267"/>
        <v>40.838643999999995</v>
      </c>
      <c r="CR254" s="59">
        <f>IF(AV254&gt;0,'Look Ups'!$L$3,0)</f>
        <v>1</v>
      </c>
      <c r="CS254" s="59">
        <f t="shared" si="268"/>
        <v>0</v>
      </c>
      <c r="CT254" s="59">
        <f t="shared" si="279"/>
        <v>0</v>
      </c>
      <c r="CU254" s="59">
        <f t="shared" si="280"/>
        <v>0</v>
      </c>
      <c r="CV254" s="79">
        <f t="shared" si="281"/>
        <v>0</v>
      </c>
      <c r="CW254" s="82" t="str">
        <f t="shared" si="269"/>
        <v>-</v>
      </c>
      <c r="CX254" s="65" t="str">
        <f t="shared" si="270"/>
        <v>valid</v>
      </c>
      <c r="CY254" s="66" t="str">
        <f t="shared" si="284"/>
        <v>MGSp</v>
      </c>
      <c r="CZ254" s="81">
        <f t="shared" si="271"/>
        <v>117.14037400000001</v>
      </c>
      <c r="DA254" s="59">
        <f t="shared" si="272"/>
        <v>38.772906799999994</v>
      </c>
      <c r="DB254" s="59">
        <f t="shared" si="273"/>
        <v>0</v>
      </c>
      <c r="DC254" s="59">
        <f t="shared" si="274"/>
        <v>38.126691686666661</v>
      </c>
      <c r="DD254" s="59">
        <f t="shared" si="275"/>
        <v>0</v>
      </c>
      <c r="DE254" s="79">
        <f t="shared" si="276"/>
        <v>120.97038728800001</v>
      </c>
      <c r="DF254" s="83">
        <f t="shared" si="277"/>
        <v>155.9132808</v>
      </c>
    </row>
    <row r="255" spans="2:110" ht="16.5" customHeight="1" x14ac:dyDescent="0.25">
      <c r="B255" s="168"/>
      <c r="C255" s="47" t="s">
        <v>409</v>
      </c>
      <c r="D255" s="48" t="s">
        <v>410</v>
      </c>
      <c r="E255" s="49" t="s">
        <v>411</v>
      </c>
      <c r="F255" s="50">
        <f t="shared" si="244"/>
        <v>0.8526457413296713</v>
      </c>
      <c r="G255" s="50" t="str">
        <f t="shared" ca="1" si="282"/>
        <v>No</v>
      </c>
      <c r="H255" s="51" t="str">
        <f t="shared" si="283"/>
        <v>Main - Genoa - Screacher - Spinnaker</v>
      </c>
      <c r="I255" s="52">
        <v>39692</v>
      </c>
      <c r="J255" s="52"/>
      <c r="K255" s="53" t="s">
        <v>412</v>
      </c>
      <c r="L255" s="53" t="s">
        <v>187</v>
      </c>
      <c r="M255" s="54"/>
      <c r="N255" s="75" t="s">
        <v>127</v>
      </c>
      <c r="O255" s="75" t="s">
        <v>128</v>
      </c>
      <c r="P255" s="56"/>
      <c r="Q255" s="57">
        <v>8.7249999999999996</v>
      </c>
      <c r="R255" s="58"/>
      <c r="S255" s="59">
        <f t="shared" si="252"/>
        <v>0.21812500000000001</v>
      </c>
      <c r="T255" s="60">
        <v>0.15</v>
      </c>
      <c r="U255" s="60">
        <v>0</v>
      </c>
      <c r="V255" s="61">
        <f t="shared" si="253"/>
        <v>8.5749999999999993</v>
      </c>
      <c r="W255" s="62">
        <f>IF(RL&gt;0,IF(RL&gt;'Look Ups'!R$7,'Look Ups'!R$8,('Look Ups'!R$3*RL^3+'Look Ups'!R$4*RL^2+'Look Ups'!R$5*RL+'Look Ups'!R$6)),0)</f>
        <v>0.29557695360937503</v>
      </c>
      <c r="X255" s="63">
        <v>1705</v>
      </c>
      <c r="Y255" s="64"/>
      <c r="Z255" s="64"/>
      <c r="AA255" s="64"/>
      <c r="AB255" s="65">
        <f t="shared" si="254"/>
        <v>1705</v>
      </c>
      <c r="AC255" s="66">
        <f t="shared" si="255"/>
        <v>1705</v>
      </c>
      <c r="AD255" s="67" t="s">
        <v>129</v>
      </c>
      <c r="AE255" s="68" t="s">
        <v>130</v>
      </c>
      <c r="AF255" s="69" t="s">
        <v>131</v>
      </c>
      <c r="AG255" s="70">
        <f>IF(C255="",0,VLOOKUP(AD255,'Look Ups'!$B$3:$C$6,2,0)*VLOOKUP(AE255,'Look Ups'!$E$3:$F$5,2,0)*VLOOKUP(AF255,'Look Ups'!$H$3:$I$7,2,0))</f>
        <v>1</v>
      </c>
      <c r="AH255" s="71">
        <v>11.33</v>
      </c>
      <c r="AI255" s="60">
        <v>11.46</v>
      </c>
      <c r="AJ255" s="60">
        <v>3.45</v>
      </c>
      <c r="AK255" s="60">
        <v>7.0000000000000007E-2</v>
      </c>
      <c r="AL255" s="60">
        <v>1.77</v>
      </c>
      <c r="AM255" s="60">
        <v>10.95</v>
      </c>
      <c r="AN255" s="60">
        <v>0.14000000000000001</v>
      </c>
      <c r="AO255" s="60">
        <v>3.64</v>
      </c>
      <c r="AP255" s="60">
        <v>0.03</v>
      </c>
      <c r="AQ255" s="60">
        <v>0.5</v>
      </c>
      <c r="AR255" s="60" t="s">
        <v>132</v>
      </c>
      <c r="AS255" s="75">
        <v>6</v>
      </c>
      <c r="AT255" s="59">
        <f t="shared" si="256"/>
        <v>10.979999999999999</v>
      </c>
      <c r="AU255" s="59">
        <f t="shared" si="257"/>
        <v>2.0531249999999996</v>
      </c>
      <c r="AV255" s="72">
        <f>IF(C255="",0,(0.5*(_ML1*LPM)+0.5*(_ML1*HB)+0.66*(P*PR)+0.66*(_ML2*RDM)+0.66*(E*ER))*VLOOKUP(BATT,'Look Ups'!$N$3:$O$4,2,0))</f>
        <v>34.412224000000002</v>
      </c>
      <c r="AW255" s="73"/>
      <c r="AX255" s="74"/>
      <c r="AY255" s="71">
        <v>9.42</v>
      </c>
      <c r="AZ255" s="60">
        <v>3.38</v>
      </c>
      <c r="BA255" s="60">
        <v>3.78</v>
      </c>
      <c r="BB255" s="60">
        <v>0.12</v>
      </c>
      <c r="BC255" s="60">
        <v>8.44</v>
      </c>
      <c r="BD255" s="60"/>
      <c r="BE255" s="60"/>
      <c r="BF255" s="60">
        <v>0</v>
      </c>
      <c r="BG255" s="60">
        <v>-0.05</v>
      </c>
      <c r="BH255" s="75">
        <v>1</v>
      </c>
      <c r="BI255" s="72">
        <f t="shared" si="258"/>
        <v>15.908315999999999</v>
      </c>
      <c r="BJ255" s="76"/>
      <c r="BK255" s="77"/>
      <c r="BL255" s="78"/>
      <c r="BM255" s="78"/>
      <c r="BN255" s="77"/>
      <c r="BO255" s="78"/>
      <c r="BP255" s="78"/>
      <c r="BQ255" s="79">
        <f t="shared" si="259"/>
        <v>0</v>
      </c>
      <c r="BR255" s="80"/>
      <c r="BS255" s="77"/>
      <c r="BT255" s="77"/>
      <c r="BU255" s="77"/>
      <c r="BV255" s="77"/>
      <c r="BW255" s="77"/>
      <c r="BX255" s="77"/>
      <c r="BY255" s="72">
        <f t="shared" si="260"/>
        <v>0</v>
      </c>
      <c r="BZ255" s="73">
        <v>8.5</v>
      </c>
      <c r="CA255" s="60">
        <v>12.5</v>
      </c>
      <c r="CB255" s="60">
        <v>11.33</v>
      </c>
      <c r="CC255" s="60">
        <v>6.7</v>
      </c>
      <c r="CD255" s="65">
        <f t="shared" si="261"/>
        <v>78.82352941176471</v>
      </c>
      <c r="CE255" s="60" t="s">
        <v>413</v>
      </c>
      <c r="CF255" s="79">
        <f t="shared" si="262"/>
        <v>70.099916666666658</v>
      </c>
      <c r="CG255" s="71">
        <v>6.78</v>
      </c>
      <c r="CH255" s="60">
        <v>10.88</v>
      </c>
      <c r="CI255" s="60">
        <v>9.44</v>
      </c>
      <c r="CJ255" s="60">
        <v>3.67</v>
      </c>
      <c r="CK255" s="59">
        <f t="shared" si="278"/>
        <v>54.129793510324475</v>
      </c>
      <c r="CL255" s="60">
        <v>0</v>
      </c>
      <c r="CM255" s="72">
        <f t="shared" si="263"/>
        <v>36.33893333333333</v>
      </c>
      <c r="CN255" s="81">
        <f t="shared" si="264"/>
        <v>1</v>
      </c>
      <c r="CO255" s="59">
        <f t="shared" si="265"/>
        <v>36.465349000000003</v>
      </c>
      <c r="CP255" s="59">
        <f t="shared" si="266"/>
        <v>1</v>
      </c>
      <c r="CQ255" s="59">
        <f t="shared" si="267"/>
        <v>15.908315999999999</v>
      </c>
      <c r="CR255" s="59">
        <f>IF(AV255&gt;0,'Look Ups'!$L$3,0)</f>
        <v>1</v>
      </c>
      <c r="CS255" s="59">
        <f t="shared" si="268"/>
        <v>0</v>
      </c>
      <c r="CT255" s="59">
        <f t="shared" si="279"/>
        <v>0</v>
      </c>
      <c r="CU255" s="59">
        <f t="shared" si="280"/>
        <v>0</v>
      </c>
      <c r="CV255" s="79">
        <f t="shared" si="281"/>
        <v>0</v>
      </c>
      <c r="CW255" s="82" t="str">
        <f t="shared" si="269"/>
        <v>valid</v>
      </c>
      <c r="CX255" s="65" t="str">
        <f t="shared" si="270"/>
        <v>valid</v>
      </c>
      <c r="CY255" s="66" t="str">
        <f t="shared" si="284"/>
        <v>MGScrSp</v>
      </c>
      <c r="CZ255" s="81">
        <f t="shared" si="271"/>
        <v>52.373665000000003</v>
      </c>
      <c r="DA255" s="59">
        <f t="shared" si="272"/>
        <v>16.257480199999996</v>
      </c>
      <c r="DB255" s="59">
        <f t="shared" si="273"/>
        <v>7.1507160666666651</v>
      </c>
      <c r="DC255" s="59">
        <f t="shared" si="274"/>
        <v>15.986522196666664</v>
      </c>
      <c r="DD255" s="59">
        <f t="shared" si="275"/>
        <v>1.1236839533333332</v>
      </c>
      <c r="DE255" s="79">
        <f t="shared" si="276"/>
        <v>54.593824564000002</v>
      </c>
      <c r="DF255" s="83">
        <f t="shared" si="277"/>
        <v>69.483871149999999</v>
      </c>
    </row>
    <row r="256" spans="2:110" ht="16.5" customHeight="1" x14ac:dyDescent="0.25">
      <c r="B256" s="47"/>
      <c r="C256" s="47" t="s">
        <v>414</v>
      </c>
      <c r="D256" s="84" t="s">
        <v>366</v>
      </c>
      <c r="E256" s="49" t="s">
        <v>415</v>
      </c>
      <c r="F256" s="50">
        <f t="shared" si="244"/>
        <v>0.84223069602885714</v>
      </c>
      <c r="G256" s="50" t="str">
        <f t="shared" ca="1" si="282"/>
        <v>No</v>
      </c>
      <c r="H256" s="51" t="str">
        <f t="shared" si="283"/>
        <v>Main - Genoa - Spinnaker</v>
      </c>
      <c r="I256" s="52">
        <v>40502</v>
      </c>
      <c r="J256" s="52">
        <v>40504</v>
      </c>
      <c r="K256" s="53" t="s">
        <v>179</v>
      </c>
      <c r="L256" s="53" t="s">
        <v>180</v>
      </c>
      <c r="M256" s="54"/>
      <c r="N256" s="75" t="s">
        <v>127</v>
      </c>
      <c r="O256" s="75" t="s">
        <v>128</v>
      </c>
      <c r="P256" s="85"/>
      <c r="Q256" s="57">
        <v>8.1999999999999993</v>
      </c>
      <c r="R256" s="58"/>
      <c r="S256" s="59">
        <f t="shared" si="252"/>
        <v>0.20499999999999999</v>
      </c>
      <c r="T256" s="60">
        <v>1.3000000000000001E-2</v>
      </c>
      <c r="U256" s="60">
        <v>0</v>
      </c>
      <c r="V256" s="61">
        <f t="shared" si="253"/>
        <v>8.1869999999999994</v>
      </c>
      <c r="W256" s="62">
        <f>IF(RL&gt;0,IF(RL&gt;'Look Ups'!R$7,'Look Ups'!R$8,('Look Ups'!R$3*RL^3+'Look Ups'!R$4*RL^2+'Look Ups'!R$5*RL+'Look Ups'!R$6)),0)</f>
        <v>0.29441748664169903</v>
      </c>
      <c r="X256" s="63">
        <v>1220</v>
      </c>
      <c r="Y256" s="64"/>
      <c r="Z256" s="64"/>
      <c r="AA256" s="64"/>
      <c r="AB256" s="65">
        <f t="shared" si="254"/>
        <v>1220</v>
      </c>
      <c r="AC256" s="66">
        <f t="shared" si="255"/>
        <v>1220</v>
      </c>
      <c r="AD256" s="67" t="s">
        <v>129</v>
      </c>
      <c r="AE256" s="68" t="s">
        <v>130</v>
      </c>
      <c r="AF256" s="69" t="s">
        <v>131</v>
      </c>
      <c r="AG256" s="70">
        <f>IF(C256="",0,VLOOKUP(AD256,'Look Ups'!$B$3:$C$6,2,0)*VLOOKUP(AE256,'Look Ups'!$E$3:$F$5,2,0)*VLOOKUP(AF256,'Look Ups'!$H$3:$I$7,2,0))</f>
        <v>1</v>
      </c>
      <c r="AH256" s="71">
        <v>10.4</v>
      </c>
      <c r="AI256" s="60">
        <v>10.199999999999999</v>
      </c>
      <c r="AJ256" s="60">
        <v>3.16</v>
      </c>
      <c r="AK256" s="60">
        <v>0.8</v>
      </c>
      <c r="AL256" s="60">
        <v>0.83</v>
      </c>
      <c r="AM256" s="60">
        <v>10.18</v>
      </c>
      <c r="AN256" s="60">
        <v>0.13</v>
      </c>
      <c r="AO256" s="60">
        <v>3.23</v>
      </c>
      <c r="AP256" s="60">
        <v>0</v>
      </c>
      <c r="AQ256" s="60"/>
      <c r="AR256" s="60" t="s">
        <v>132</v>
      </c>
      <c r="AS256" s="75">
        <v>0</v>
      </c>
      <c r="AT256" s="59">
        <f t="shared" si="256"/>
        <v>10.18</v>
      </c>
      <c r="AU256" s="59">
        <f t="shared" si="257"/>
        <v>0</v>
      </c>
      <c r="AV256" s="72">
        <f>IF(C256="",0,(0.5*(_ML1*LPM)+0.5*(_ML1*HB)+0.66*(P*PR)+0.66*(_ML2*RDM)+0.66*(E*ER))*VLOOKUP(BATT,'Look Ups'!$N$3:$O$4,2,0))</f>
        <v>27.053004000000001</v>
      </c>
      <c r="AW256" s="73"/>
      <c r="AX256" s="74"/>
      <c r="AY256" s="71">
        <v>8.67</v>
      </c>
      <c r="AZ256" s="60">
        <v>2.7</v>
      </c>
      <c r="BA256" s="60">
        <v>3.03</v>
      </c>
      <c r="BB256" s="60">
        <v>0.05</v>
      </c>
      <c r="BC256" s="60">
        <v>7.74</v>
      </c>
      <c r="BD256" s="60"/>
      <c r="BE256" s="60"/>
      <c r="BF256" s="60">
        <v>0.1</v>
      </c>
      <c r="BG256" s="60">
        <v>0.04</v>
      </c>
      <c r="BH256" s="75">
        <v>0</v>
      </c>
      <c r="BI256" s="72">
        <f t="shared" si="258"/>
        <v>12.544218000000001</v>
      </c>
      <c r="BJ256" s="76"/>
      <c r="BK256" s="77"/>
      <c r="BL256" s="78"/>
      <c r="BM256" s="78"/>
      <c r="BN256" s="77"/>
      <c r="BO256" s="78"/>
      <c r="BP256" s="78"/>
      <c r="BQ256" s="79">
        <f t="shared" si="259"/>
        <v>0</v>
      </c>
      <c r="BR256" s="80"/>
      <c r="BS256" s="77"/>
      <c r="BT256" s="77"/>
      <c r="BU256" s="77"/>
      <c r="BV256" s="77"/>
      <c r="BW256" s="77"/>
      <c r="BX256" s="77"/>
      <c r="BY256" s="72">
        <f t="shared" si="260"/>
        <v>0</v>
      </c>
      <c r="BZ256" s="73">
        <v>7.49</v>
      </c>
      <c r="CA256" s="60">
        <v>11.68</v>
      </c>
      <c r="CB256" s="60">
        <v>10.06</v>
      </c>
      <c r="CC256" s="60">
        <v>6.23</v>
      </c>
      <c r="CD256" s="65">
        <f t="shared" si="261"/>
        <v>83.177570093457945</v>
      </c>
      <c r="CE256" s="75">
        <v>0</v>
      </c>
      <c r="CF256" s="79">
        <f t="shared" si="262"/>
        <v>58.716116666666679</v>
      </c>
      <c r="CG256" s="71"/>
      <c r="CH256" s="60"/>
      <c r="CI256" s="60"/>
      <c r="CJ256" s="60"/>
      <c r="CK256" s="59" t="str">
        <f t="shared" si="278"/>
        <v/>
      </c>
      <c r="CL256" s="75">
        <v>0</v>
      </c>
      <c r="CM256" s="72">
        <f t="shared" si="263"/>
        <v>0</v>
      </c>
      <c r="CN256" s="81">
        <f t="shared" si="264"/>
        <v>1</v>
      </c>
      <c r="CO256" s="59">
        <f t="shared" si="265"/>
        <v>27.053004000000001</v>
      </c>
      <c r="CP256" s="59">
        <f t="shared" si="266"/>
        <v>1</v>
      </c>
      <c r="CQ256" s="59">
        <f t="shared" si="267"/>
        <v>12.544218000000001</v>
      </c>
      <c r="CR256" s="59">
        <f>IF(AV256&gt;0,'Look Ups'!$L$3,0)</f>
        <v>1</v>
      </c>
      <c r="CS256" s="59">
        <f t="shared" si="268"/>
        <v>0</v>
      </c>
      <c r="CT256" s="59">
        <f t="shared" si="279"/>
        <v>0</v>
      </c>
      <c r="CU256" s="59">
        <f t="shared" si="280"/>
        <v>0</v>
      </c>
      <c r="CV256" s="79">
        <f t="shared" si="281"/>
        <v>0</v>
      </c>
      <c r="CW256" s="82" t="str">
        <f t="shared" si="269"/>
        <v>-</v>
      </c>
      <c r="CX256" s="65" t="str">
        <f t="shared" si="270"/>
        <v>valid</v>
      </c>
      <c r="CY256" s="66" t="str">
        <f t="shared" si="284"/>
        <v>MGSp</v>
      </c>
      <c r="CZ256" s="81">
        <f t="shared" si="271"/>
        <v>39.597222000000002</v>
      </c>
      <c r="DA256" s="59">
        <f t="shared" si="272"/>
        <v>13.851569600000003</v>
      </c>
      <c r="DB256" s="59">
        <f t="shared" si="273"/>
        <v>0</v>
      </c>
      <c r="DC256" s="59">
        <f t="shared" si="274"/>
        <v>13.620710106666669</v>
      </c>
      <c r="DD256" s="59">
        <f t="shared" si="275"/>
        <v>0</v>
      </c>
      <c r="DE256" s="79">
        <f t="shared" si="276"/>
        <v>41.164170888000001</v>
      </c>
      <c r="DF256" s="83">
        <f t="shared" si="277"/>
        <v>53.448791600000007</v>
      </c>
    </row>
    <row r="257" spans="2:110" ht="16.5" customHeight="1" x14ac:dyDescent="0.25">
      <c r="B257" s="47"/>
      <c r="C257" s="47" t="s">
        <v>416</v>
      </c>
      <c r="D257" s="84" t="s">
        <v>170</v>
      </c>
      <c r="E257" s="49" t="s">
        <v>417</v>
      </c>
      <c r="F257" s="50">
        <f t="shared" si="244"/>
        <v>0.8785063774373062</v>
      </c>
      <c r="G257" s="50" t="str">
        <f t="shared" ca="1" si="282"/>
        <v>No</v>
      </c>
      <c r="H257" s="51" t="str">
        <f t="shared" si="283"/>
        <v>Main - Genoa - Spinnaker</v>
      </c>
      <c r="I257" s="52">
        <v>38731</v>
      </c>
      <c r="J257" s="52">
        <v>39102</v>
      </c>
      <c r="K257" s="53" t="s">
        <v>236</v>
      </c>
      <c r="L257" s="53" t="s">
        <v>418</v>
      </c>
      <c r="M257" s="54"/>
      <c r="N257" s="75" t="s">
        <v>127</v>
      </c>
      <c r="O257" s="75" t="s">
        <v>128</v>
      </c>
      <c r="P257" s="85"/>
      <c r="Q257" s="57">
        <v>7.42</v>
      </c>
      <c r="R257" s="58"/>
      <c r="S257" s="59">
        <f t="shared" si="252"/>
        <v>0.1855</v>
      </c>
      <c r="T257" s="60">
        <v>0.23</v>
      </c>
      <c r="U257" s="60">
        <v>0</v>
      </c>
      <c r="V257" s="61">
        <f t="shared" si="253"/>
        <v>7.1899999999999995</v>
      </c>
      <c r="W257" s="62">
        <f>IF(RL&gt;0,IF(RL&gt;'Look Ups'!R$7,'Look Ups'!R$8,('Look Ups'!R$3*RL^3+'Look Ups'!R$4*RL^2+'Look Ups'!R$5*RL+'Look Ups'!R$6)),0)</f>
        <v>0.29059639364700002</v>
      </c>
      <c r="X257" s="63">
        <v>900</v>
      </c>
      <c r="Y257" s="64"/>
      <c r="Z257" s="64"/>
      <c r="AA257" s="64"/>
      <c r="AB257" s="65">
        <f t="shared" si="254"/>
        <v>900</v>
      </c>
      <c r="AC257" s="66">
        <f t="shared" si="255"/>
        <v>900</v>
      </c>
      <c r="AD257" s="67" t="s">
        <v>129</v>
      </c>
      <c r="AE257" s="68" t="s">
        <v>130</v>
      </c>
      <c r="AF257" s="69" t="s">
        <v>131</v>
      </c>
      <c r="AG257" s="70">
        <f>IF(C257="",0,VLOOKUP(AD257,'Look Ups'!$B$3:$C$6,2,0)*VLOOKUP(AE257,'Look Ups'!$E$3:$F$5,2,0)*VLOOKUP(AF257,'Look Ups'!$H$3:$I$7,2,0))</f>
        <v>1</v>
      </c>
      <c r="AH257" s="71">
        <v>10.15</v>
      </c>
      <c r="AI257" s="60">
        <v>9.9</v>
      </c>
      <c r="AJ257" s="60">
        <v>3.2</v>
      </c>
      <c r="AK257" s="60">
        <v>0.77</v>
      </c>
      <c r="AL257" s="60">
        <v>0.69</v>
      </c>
      <c r="AM257" s="60">
        <v>9.85</v>
      </c>
      <c r="AN257" s="60">
        <v>0.09</v>
      </c>
      <c r="AO257" s="60">
        <v>3.3</v>
      </c>
      <c r="AP257" s="60">
        <v>0.04</v>
      </c>
      <c r="AQ257" s="60">
        <v>0.48</v>
      </c>
      <c r="AR257" s="60" t="s">
        <v>132</v>
      </c>
      <c r="AS257" s="75">
        <v>0</v>
      </c>
      <c r="AT257" s="59">
        <f t="shared" si="256"/>
        <v>9.8899999999999988</v>
      </c>
      <c r="AU257" s="59">
        <f t="shared" si="257"/>
        <v>1.7729999999999997</v>
      </c>
      <c r="AV257" s="72">
        <f>IF(C257="",0,(0.5*(_ML1*LPM)+0.5*(_ML1*HB)+0.66*(P*PR)+0.66*(_ML2*RDM)+0.66*(E*ER))*VLOOKUP(BATT,'Look Ups'!$N$3:$O$4,2,0))</f>
        <v>25.328420000000001</v>
      </c>
      <c r="AW257" s="73"/>
      <c r="AX257" s="74"/>
      <c r="AY257" s="71">
        <v>8.8699999999999992</v>
      </c>
      <c r="AZ257" s="60">
        <v>2.2800000000000002</v>
      </c>
      <c r="BA257" s="60">
        <v>2.5499999999999998</v>
      </c>
      <c r="BB257" s="60">
        <v>0.06</v>
      </c>
      <c r="BC257" s="60">
        <v>8.0299999999999994</v>
      </c>
      <c r="BD257" s="60"/>
      <c r="BE257" s="60"/>
      <c r="BF257" s="60">
        <v>-7.4999999999999997E-2</v>
      </c>
      <c r="BG257" s="60">
        <v>0.12</v>
      </c>
      <c r="BH257" s="75" t="s">
        <v>397</v>
      </c>
      <c r="BI257" s="72">
        <f t="shared" si="258"/>
        <v>10.517799</v>
      </c>
      <c r="BJ257" s="76"/>
      <c r="BK257" s="77"/>
      <c r="BL257" s="78"/>
      <c r="BM257" s="78"/>
      <c r="BN257" s="77"/>
      <c r="BO257" s="78"/>
      <c r="BP257" s="78"/>
      <c r="BQ257" s="79">
        <f t="shared" si="259"/>
        <v>0</v>
      </c>
      <c r="BR257" s="80"/>
      <c r="BS257" s="77"/>
      <c r="BT257" s="77"/>
      <c r="BU257" s="77"/>
      <c r="BV257" s="77"/>
      <c r="BW257" s="77"/>
      <c r="BX257" s="77"/>
      <c r="BY257" s="72">
        <f t="shared" si="260"/>
        <v>0</v>
      </c>
      <c r="BZ257" s="73">
        <v>6.64</v>
      </c>
      <c r="CA257" s="60">
        <v>11.5</v>
      </c>
      <c r="CB257" s="60">
        <v>9.74</v>
      </c>
      <c r="CC257" s="60">
        <v>6.6</v>
      </c>
      <c r="CD257" s="65">
        <f t="shared" si="261"/>
        <v>99.397590361445793</v>
      </c>
      <c r="CE257" s="75">
        <v>0</v>
      </c>
      <c r="CF257" s="79">
        <f t="shared" si="262"/>
        <v>58.480800000000002</v>
      </c>
      <c r="CG257" s="71"/>
      <c r="CH257" s="60">
        <v>0</v>
      </c>
      <c r="CI257" s="60">
        <v>0</v>
      </c>
      <c r="CJ257" s="60">
        <v>0</v>
      </c>
      <c r="CK257" s="59" t="str">
        <f t="shared" si="278"/>
        <v/>
      </c>
      <c r="CL257" s="75">
        <v>0</v>
      </c>
      <c r="CM257" s="72">
        <f t="shared" si="263"/>
        <v>0</v>
      </c>
      <c r="CN257" s="81">
        <f t="shared" si="264"/>
        <v>1</v>
      </c>
      <c r="CO257" s="59">
        <f t="shared" si="265"/>
        <v>27.101420000000005</v>
      </c>
      <c r="CP257" s="59">
        <f t="shared" si="266"/>
        <v>1</v>
      </c>
      <c r="CQ257" s="59">
        <f t="shared" si="267"/>
        <v>10.517799</v>
      </c>
      <c r="CR257" s="59">
        <f>IF(AV257&gt;0,'Look Ups'!$L$3,0)</f>
        <v>1</v>
      </c>
      <c r="CS257" s="59">
        <f t="shared" si="268"/>
        <v>0</v>
      </c>
      <c r="CT257" s="59">
        <f t="shared" si="279"/>
        <v>0</v>
      </c>
      <c r="CU257" s="59">
        <f t="shared" si="280"/>
        <v>0</v>
      </c>
      <c r="CV257" s="79">
        <f t="shared" si="281"/>
        <v>0</v>
      </c>
      <c r="CW257" s="82" t="str">
        <f t="shared" si="269"/>
        <v>-</v>
      </c>
      <c r="CX257" s="65" t="str">
        <f t="shared" si="270"/>
        <v>valid</v>
      </c>
      <c r="CY257" s="66" t="str">
        <f t="shared" si="284"/>
        <v>MGSp</v>
      </c>
      <c r="CZ257" s="81">
        <f t="shared" si="271"/>
        <v>37.619219000000001</v>
      </c>
      <c r="DA257" s="59">
        <f t="shared" si="272"/>
        <v>14.388900300000001</v>
      </c>
      <c r="DB257" s="59">
        <f t="shared" si="273"/>
        <v>0</v>
      </c>
      <c r="DC257" s="59">
        <f t="shared" si="274"/>
        <v>14.149085295000001</v>
      </c>
      <c r="DD257" s="59">
        <f t="shared" si="275"/>
        <v>0</v>
      </c>
      <c r="DE257" s="79">
        <f t="shared" si="276"/>
        <v>39.410250068000003</v>
      </c>
      <c r="DF257" s="83">
        <f t="shared" si="277"/>
        <v>52.008119300000004</v>
      </c>
    </row>
    <row r="258" spans="2:110" ht="16.5" customHeight="1" x14ac:dyDescent="0.25">
      <c r="B258" s="47"/>
      <c r="C258" s="168" t="s">
        <v>734</v>
      </c>
      <c r="D258" s="169" t="s">
        <v>735</v>
      </c>
      <c r="E258" s="170" t="s">
        <v>736</v>
      </c>
      <c r="F258" s="50">
        <f t="shared" si="244"/>
        <v>0.68820512135927592</v>
      </c>
      <c r="G258" s="50" t="str">
        <f t="shared" ca="1" si="282"/>
        <v>No</v>
      </c>
      <c r="H258" s="51" t="str">
        <f t="shared" si="283"/>
        <v>Main - Genoa - Spinnaker</v>
      </c>
      <c r="I258" s="171">
        <v>36236</v>
      </c>
      <c r="J258" s="171"/>
      <c r="K258" s="172" t="s">
        <v>299</v>
      </c>
      <c r="L258" s="172" t="s">
        <v>390</v>
      </c>
      <c r="M258" s="171"/>
      <c r="N258" s="173" t="s">
        <v>541</v>
      </c>
      <c r="O258" s="173"/>
      <c r="P258" s="174">
        <v>9.1</v>
      </c>
      <c r="Q258" s="175">
        <v>12.76</v>
      </c>
      <c r="R258" s="78"/>
      <c r="S258" s="59">
        <f t="shared" si="252"/>
        <v>0.31900000000000001</v>
      </c>
      <c r="T258" s="176">
        <v>0.60000000000000009</v>
      </c>
      <c r="U258" s="176">
        <v>0.4</v>
      </c>
      <c r="V258" s="61">
        <f t="shared" si="253"/>
        <v>11.76</v>
      </c>
      <c r="W258" s="62">
        <f>IF(RL&gt;0,IF(RL&gt;'Look Ups'!R$7,'Look Ups'!R$8,('Look Ups'!R$3*RL^3+'Look Ups'!R$4*RL^2+'Look Ups'!R$5*RL+'Look Ups'!R$6)),0)</f>
        <v>0.29987389260800001</v>
      </c>
      <c r="X258" s="177">
        <v>5614</v>
      </c>
      <c r="Y258" s="178"/>
      <c r="Z258" s="178"/>
      <c r="AA258" s="178"/>
      <c r="AB258" s="65">
        <f t="shared" si="254"/>
        <v>5614</v>
      </c>
      <c r="AC258" s="66">
        <f t="shared" si="255"/>
        <v>5614</v>
      </c>
      <c r="AD258" s="179" t="s">
        <v>129</v>
      </c>
      <c r="AE258" s="180" t="s">
        <v>130</v>
      </c>
      <c r="AF258" s="181" t="s">
        <v>131</v>
      </c>
      <c r="AG258" s="70">
        <f>IF(C258="",0,VLOOKUP(AD258,'Look Ups'!$B$3:$C$6,2,0)*VLOOKUP(AE258,'Look Ups'!$E$3:$F$5,2,0)*VLOOKUP(AF258,'Look Ups'!$H$3:$I$7,2,0))</f>
        <v>1</v>
      </c>
      <c r="AH258" s="80">
        <v>11.26</v>
      </c>
      <c r="AI258" s="77">
        <v>11.21</v>
      </c>
      <c r="AJ258" s="77">
        <v>2.97</v>
      </c>
      <c r="AK258" s="77">
        <v>0.17</v>
      </c>
      <c r="AL258" s="77">
        <v>0.28600000000000003</v>
      </c>
      <c r="AM258" s="77">
        <v>10.8</v>
      </c>
      <c r="AN258" s="77">
        <v>7.0000000000000007E-2</v>
      </c>
      <c r="AO258" s="77">
        <v>3.1</v>
      </c>
      <c r="AP258" s="77">
        <v>0.05</v>
      </c>
      <c r="AQ258" s="77"/>
      <c r="AR258" s="77" t="s">
        <v>132</v>
      </c>
      <c r="AS258" s="87">
        <v>0</v>
      </c>
      <c r="AT258" s="59">
        <f t="shared" si="256"/>
        <v>10.850000000000001</v>
      </c>
      <c r="AU258" s="59">
        <f t="shared" si="257"/>
        <v>0</v>
      </c>
      <c r="AV258" s="72">
        <f>IF(C258="",0,(0.5*(_ML1*LPM)+0.5*(_ML1*HB)+0.66*(P*PR)+0.66*(_ML2*RDM)+0.66*(E*ER))*VLOOKUP(BATT,'Look Ups'!$N$3:$O$4,2,0))</f>
        <v>20.395459600000002</v>
      </c>
      <c r="AW258" s="182"/>
      <c r="AX258" s="183"/>
      <c r="AY258" s="80">
        <v>12.2</v>
      </c>
      <c r="AZ258" s="77">
        <v>6.24</v>
      </c>
      <c r="BA258" s="77">
        <v>6.55</v>
      </c>
      <c r="BB258" s="77">
        <v>7.0000000000000007E-2</v>
      </c>
      <c r="BC258" s="77">
        <v>11.8</v>
      </c>
      <c r="BD258" s="77"/>
      <c r="BE258" s="77"/>
      <c r="BF258" s="77">
        <v>-0.35</v>
      </c>
      <c r="BG258" s="77">
        <v>-0.21</v>
      </c>
      <c r="BH258" s="87"/>
      <c r="BI258" s="72">
        <f t="shared" si="258"/>
        <v>33.949890000000003</v>
      </c>
      <c r="BJ258" s="76"/>
      <c r="BK258" s="77"/>
      <c r="BL258" s="78"/>
      <c r="BM258" s="78"/>
      <c r="BN258" s="77"/>
      <c r="BO258" s="78"/>
      <c r="BP258" s="78"/>
      <c r="BQ258" s="79">
        <f t="shared" si="259"/>
        <v>0</v>
      </c>
      <c r="BR258" s="80"/>
      <c r="BS258" s="77"/>
      <c r="BT258" s="77"/>
      <c r="BU258" s="77"/>
      <c r="BV258" s="77"/>
      <c r="BW258" s="77"/>
      <c r="BX258" s="77"/>
      <c r="BY258" s="72">
        <f t="shared" si="260"/>
        <v>0</v>
      </c>
      <c r="BZ258" s="182">
        <v>10.199999999999999</v>
      </c>
      <c r="CA258" s="77">
        <v>14.5</v>
      </c>
      <c r="CB258" s="77">
        <v>14.5</v>
      </c>
      <c r="CC258" s="77">
        <v>10.7</v>
      </c>
      <c r="CD258" s="65">
        <f t="shared" si="261"/>
        <v>104.90196078431373</v>
      </c>
      <c r="CE258" s="77">
        <v>0</v>
      </c>
      <c r="CF258" s="79">
        <f t="shared" si="262"/>
        <v>128.08333333333331</v>
      </c>
      <c r="CG258" s="80"/>
      <c r="CH258" s="77"/>
      <c r="CI258" s="77"/>
      <c r="CJ258" s="77"/>
      <c r="CK258" s="59" t="str">
        <f t="shared" si="278"/>
        <v/>
      </c>
      <c r="CL258" s="77">
        <v>0</v>
      </c>
      <c r="CM258" s="72">
        <f t="shared" si="263"/>
        <v>0</v>
      </c>
      <c r="CN258" s="81">
        <f t="shared" si="264"/>
        <v>1</v>
      </c>
      <c r="CO258" s="59">
        <f t="shared" si="265"/>
        <v>20.395459600000002</v>
      </c>
      <c r="CP258" s="59">
        <f t="shared" si="266"/>
        <v>1</v>
      </c>
      <c r="CQ258" s="59">
        <f t="shared" si="267"/>
        <v>33.949890000000003</v>
      </c>
      <c r="CR258" s="59">
        <f>IF(AV258&gt;0,'Look Ups'!$L$3,0)</f>
        <v>1</v>
      </c>
      <c r="CS258" s="59">
        <f t="shared" si="268"/>
        <v>0</v>
      </c>
      <c r="CT258" s="59">
        <f t="shared" si="279"/>
        <v>0</v>
      </c>
      <c r="CU258" s="59">
        <f t="shared" si="280"/>
        <v>0</v>
      </c>
      <c r="CV258" s="79">
        <f t="shared" si="281"/>
        <v>0</v>
      </c>
      <c r="CW258" s="82" t="str">
        <f t="shared" si="269"/>
        <v>-</v>
      </c>
      <c r="CX258" s="65" t="str">
        <f t="shared" si="270"/>
        <v>valid</v>
      </c>
      <c r="CY258" s="66" t="str">
        <f t="shared" si="284"/>
        <v>MGSp</v>
      </c>
      <c r="CZ258" s="81">
        <f t="shared" si="271"/>
        <v>54.345349600000006</v>
      </c>
      <c r="DA258" s="59">
        <f t="shared" si="272"/>
        <v>28.24003299999999</v>
      </c>
      <c r="DB258" s="59">
        <f t="shared" si="273"/>
        <v>0</v>
      </c>
      <c r="DC258" s="59">
        <f t="shared" si="274"/>
        <v>27.769365783333324</v>
      </c>
      <c r="DD258" s="59">
        <f t="shared" si="275"/>
        <v>0</v>
      </c>
      <c r="DE258" s="79">
        <f t="shared" si="276"/>
        <v>52.881471116800007</v>
      </c>
      <c r="DF258" s="83">
        <f t="shared" ref="DF258:DF287" si="285">IF(CY258="MG",DE258,IF(CY258="MGScr",RAMG+RASCO,IF(CY258="MGSp",RAMG+RASPO,IF(CY258="MGScrSp",RAMG+RASPSC+RASCR,0))))+RSAST+RSAD+RSAMZ+RSA2M</f>
        <v>82.585382600000003</v>
      </c>
    </row>
    <row r="259" spans="2:110" ht="16.5" customHeight="1" x14ac:dyDescent="0.25">
      <c r="B259" s="168"/>
      <c r="C259" s="168" t="s">
        <v>737</v>
      </c>
      <c r="D259" s="169" t="s">
        <v>152</v>
      </c>
      <c r="E259" s="170" t="s">
        <v>738</v>
      </c>
      <c r="F259" s="50">
        <f t="shared" si="244"/>
        <v>0.89344575830932149</v>
      </c>
      <c r="G259" s="50" t="str">
        <f t="shared" ca="1" si="282"/>
        <v>No</v>
      </c>
      <c r="H259" s="51" t="str">
        <f t="shared" si="283"/>
        <v>Main - Genoa - Spinnaker</v>
      </c>
      <c r="I259" s="171">
        <v>38290</v>
      </c>
      <c r="J259" s="171"/>
      <c r="K259" s="172" t="s">
        <v>224</v>
      </c>
      <c r="L259" s="172" t="s">
        <v>187</v>
      </c>
      <c r="M259" s="171"/>
      <c r="N259" s="87" t="s">
        <v>537</v>
      </c>
      <c r="O259" s="87"/>
      <c r="P259" s="174">
        <v>5.9</v>
      </c>
      <c r="Q259" s="175">
        <v>8.25</v>
      </c>
      <c r="R259" s="78"/>
      <c r="S259" s="59">
        <f t="shared" ref="S259:S290" si="286">IF((LOAA&gt;LOA),0.025*LOAA,0.025*LOA)</f>
        <v>0.20625000000000002</v>
      </c>
      <c r="T259" s="176">
        <v>0.1</v>
      </c>
      <c r="U259" s="176">
        <v>0</v>
      </c>
      <c r="V259" s="61">
        <f t="shared" ref="V259:V290" si="287">IF((LOAA&gt;LOA),LOAA,LOA-FOC-AOC)</f>
        <v>8.15</v>
      </c>
      <c r="W259" s="62">
        <f>IF(RL&gt;0,IF(RL&gt;'Look Ups'!R$7,'Look Ups'!R$8,('Look Ups'!R$3*RL^3+'Look Ups'!R$4*RL^2+'Look Ups'!R$5*RL+'Look Ups'!R$6)),0)</f>
        <v>0.29429783137500004</v>
      </c>
      <c r="X259" s="177">
        <v>1085</v>
      </c>
      <c r="Y259" s="178"/>
      <c r="Z259" s="178"/>
      <c r="AA259" s="178"/>
      <c r="AB259" s="65">
        <f t="shared" ref="AB259:AB290" si="288">WM+WE</f>
        <v>1085</v>
      </c>
      <c r="AC259" s="66">
        <f t="shared" ref="AC259:AC290" si="289">WS+WCD+4*NC</f>
        <v>1085</v>
      </c>
      <c r="AD259" s="179" t="s">
        <v>154</v>
      </c>
      <c r="AE259" s="180" t="s">
        <v>130</v>
      </c>
      <c r="AF259" s="181" t="s">
        <v>131</v>
      </c>
      <c r="AG259" s="70">
        <f>IF(C259="",0,VLOOKUP(AD259,'Look Ups'!$B$3:$C$6,2,0)*VLOOKUP(AE259,'Look Ups'!$E$3:$F$5,2,0)*VLOOKUP(AF259,'Look Ups'!$H$3:$I$7,2,0))</f>
        <v>0.99</v>
      </c>
      <c r="AH259" s="80">
        <v>10.62</v>
      </c>
      <c r="AI259" s="77">
        <v>10.37</v>
      </c>
      <c r="AJ259" s="77">
        <v>3.27</v>
      </c>
      <c r="AK259" s="77">
        <v>0.9</v>
      </c>
      <c r="AL259" s="77">
        <v>0.89</v>
      </c>
      <c r="AM259" s="77">
        <v>10.220000000000001</v>
      </c>
      <c r="AN259" s="77">
        <v>0</v>
      </c>
      <c r="AO259" s="77">
        <v>3.29</v>
      </c>
      <c r="AP259" s="77">
        <v>0.03</v>
      </c>
      <c r="AQ259" s="77">
        <v>0.49</v>
      </c>
      <c r="AR259" s="77" t="s">
        <v>132</v>
      </c>
      <c r="AS259" s="87">
        <v>0</v>
      </c>
      <c r="AT259" s="59">
        <f t="shared" ref="AT259:AT290" si="290">P+ER</f>
        <v>10.25</v>
      </c>
      <c r="AU259" s="59">
        <f t="shared" ref="AU259:AU290" si="291">P*0.375*MC</f>
        <v>1.8779250000000003</v>
      </c>
      <c r="AV259" s="72">
        <f>IF(C259="",0,(0.5*(_ML1*LPM)+0.5*(_ML1*HB)+0.66*(P*PR)+0.66*(_ML2*RDM)+0.66*(E*ER))*VLOOKUP(BATT,'Look Ups'!$N$3:$O$4,2,0))</f>
        <v>28.29918</v>
      </c>
      <c r="AW259" s="182"/>
      <c r="AX259" s="183"/>
      <c r="AY259" s="80">
        <v>8.69</v>
      </c>
      <c r="AZ259" s="77">
        <v>2.69</v>
      </c>
      <c r="BA259" s="77">
        <v>3.04</v>
      </c>
      <c r="BB259" s="77">
        <v>0.09</v>
      </c>
      <c r="BC259" s="77">
        <v>7.8</v>
      </c>
      <c r="BD259" s="77"/>
      <c r="BE259" s="77"/>
      <c r="BF259" s="77">
        <v>-0.03</v>
      </c>
      <c r="BG259" s="77">
        <v>0.05</v>
      </c>
      <c r="BH259" s="87"/>
      <c r="BI259" s="72">
        <f t="shared" ref="BI259:BI290" si="292">(0.5*LL*LPG)+(0.5*_LG1*HG)+(0.66*LL*LLRG)+(0.66*FG*FRG)+(IF((HG&gt;0),(0.66*_LG2*LRG),(0.66*_LG1*LRG)))</f>
        <v>12.000956</v>
      </c>
      <c r="BJ259" s="76"/>
      <c r="BK259" s="77"/>
      <c r="BL259" s="78"/>
      <c r="BM259" s="78"/>
      <c r="BN259" s="77"/>
      <c r="BO259" s="78"/>
      <c r="BP259" s="78"/>
      <c r="BQ259" s="79">
        <f t="shared" ref="BQ259:BQ290" si="293">(0.5*LLS*LPS)+(0.66*LLS*LLRS)+(0.66*LS*LRS)+(0.66*FS*FRS)</f>
        <v>0</v>
      </c>
      <c r="BR259" s="80"/>
      <c r="BS259" s="77"/>
      <c r="BT259" s="77"/>
      <c r="BU259" s="77"/>
      <c r="BV259" s="77"/>
      <c r="BW259" s="77"/>
      <c r="BX259" s="77"/>
      <c r="BY259" s="72">
        <f t="shared" ref="BY259:BY290" si="294">(0.5*LLD*LPD)+(0.66*LLD*LLRD)+(0.66*LCHD*LRD)+(0.66*FD*FRD)</f>
        <v>0</v>
      </c>
      <c r="BZ259" s="182">
        <v>7.8</v>
      </c>
      <c r="CA259" s="77">
        <v>11.79</v>
      </c>
      <c r="CB259" s="77">
        <v>10.41</v>
      </c>
      <c r="CC259" s="77">
        <v>6.79</v>
      </c>
      <c r="CD259" s="65">
        <f t="shared" ref="CD259:CD290" si="295">IF(SF&gt;0,SMG/SF*100,"")</f>
        <v>87.051282051282058</v>
      </c>
      <c r="CE259" s="77">
        <v>0</v>
      </c>
      <c r="CF259" s="79">
        <f t="shared" ref="CF259:CF290" si="296">SF*(_SL1+_SL2)/4+(SMG-SF/2)*(_SL1+_SL2)/3</f>
        <v>64.676000000000002</v>
      </c>
      <c r="CG259" s="80"/>
      <c r="CH259" s="77"/>
      <c r="CI259" s="77"/>
      <c r="CJ259" s="77"/>
      <c r="CK259" s="59" t="str">
        <f t="shared" si="278"/>
        <v/>
      </c>
      <c r="CL259" s="77">
        <v>0</v>
      </c>
      <c r="CM259" s="72">
        <f t="shared" ref="CM259:CM290" si="297">SCRF*(ScrL1+ScrL2)/4+(ScrMG-SCRF/2)*(ScrL1+ScrL2)/3</f>
        <v>0</v>
      </c>
      <c r="CN259" s="81">
        <f t="shared" ref="CN259:CN290" si="298">IF(ZVAL=1,1,IF(LPM&gt;0,0.64*((AM+MAM)/(E+(MC/2))^2)^0.3,0))</f>
        <v>1</v>
      </c>
      <c r="CO259" s="59">
        <f t="shared" ref="CO259:CO290" si="299">0.65*((AM+MAM)*EFM)+0.35*((AM+MAM)*ZVAL)</f>
        <v>30.177105000000001</v>
      </c>
      <c r="CP259" s="59">
        <f t="shared" ref="CP259:CP290" si="300">IF(ZVAL=1,1,IF(LPG&gt;0,0.72*(AG/(LPG^2))^0.3,0))</f>
        <v>1</v>
      </c>
      <c r="CQ259" s="59">
        <f t="shared" ref="CQ259:CQ290" si="301">AG*EFG</f>
        <v>12.000956</v>
      </c>
      <c r="CR259" s="59">
        <f>IF(AV259&gt;0,'Look Ups'!$L$3,0)</f>
        <v>1</v>
      </c>
      <c r="CS259" s="59">
        <f t="shared" ref="CS259:CS290" si="302">IF(LPS&gt;0,0.72*(AS/(LPS^2))^0.3,0)</f>
        <v>0</v>
      </c>
      <c r="CT259" s="59">
        <f t="shared" si="279"/>
        <v>0</v>
      </c>
      <c r="CU259" s="59">
        <f t="shared" si="280"/>
        <v>0</v>
      </c>
      <c r="CV259" s="79">
        <f t="shared" si="281"/>
        <v>0</v>
      </c>
      <c r="CW259" s="82" t="str">
        <f t="shared" ref="CW259:CW290" si="303">IF((SCRF=0),"-",IF(AND(MSASC&gt;AG,ScrMG&gt;=(0.5*SCRF),ScrMG&lt;(0.75*SCRF)),"valid","ERROR"))</f>
        <v>-</v>
      </c>
      <c r="CX259" s="65" t="str">
        <f t="shared" ref="CX259:CX290" si="304">IF((SF=0),"-",IF((SMG&lt;(0.75*SF)),"ERROR",IF(AND(MSASP&gt;MSASC,MSASP&gt;AG,MSASP&gt;=0.36*RSAM),"valid",0)))</f>
        <v>valid</v>
      </c>
      <c r="CY259" s="66" t="str">
        <f t="shared" si="284"/>
        <v>MGSp</v>
      </c>
      <c r="CZ259" s="81">
        <f t="shared" ref="CZ259:CZ290" si="305">RSAM+RSAG</f>
        <v>42.178061</v>
      </c>
      <c r="DA259" s="59">
        <f t="shared" ref="DA259:DA290" si="306">IF(MSASP&gt;0,0.3*(ZVAL*MSASP-RSAG),0)</f>
        <v>15.8025132</v>
      </c>
      <c r="DB259" s="59">
        <f t="shared" ref="DB259:DB290" si="307">IF(AND(MSASC&gt;0,(MSASC&gt;=0.36*RSAM)),(0.35*(ZVAL*MSASC-RSAG)),(0))</f>
        <v>0</v>
      </c>
      <c r="DC259" s="59">
        <f t="shared" ref="DC259:DC290" si="308">IF(MSASP&gt;0,0.295*(ZVAL*MSASP-RSAG),0)</f>
        <v>15.53913798</v>
      </c>
      <c r="DD259" s="59">
        <f t="shared" ref="DD259:DD290" si="309">IF(MSASC&gt;0,0.055*(MSASC-RSAG),0)</f>
        <v>0</v>
      </c>
      <c r="DE259" s="79">
        <f t="shared" ref="DE259:DE290" si="310">RSAMG+(ZVAL*0.3*0.36*(RSAM-RSAG))</f>
        <v>44.141085091999997</v>
      </c>
      <c r="DF259" s="83">
        <f t="shared" si="285"/>
        <v>57.9805742</v>
      </c>
    </row>
    <row r="260" spans="2:110" ht="16.5" customHeight="1" x14ac:dyDescent="0.25">
      <c r="B260" s="168"/>
      <c r="C260" s="168" t="s">
        <v>739</v>
      </c>
      <c r="D260" s="184" t="s">
        <v>740</v>
      </c>
      <c r="E260" s="170" t="s">
        <v>408</v>
      </c>
      <c r="F260" s="50">
        <f t="shared" si="244"/>
        <v>0.80319683472079617</v>
      </c>
      <c r="G260" s="50" t="str">
        <f t="shared" ca="1" si="282"/>
        <v>No</v>
      </c>
      <c r="H260" s="51" t="str">
        <f t="shared" si="283"/>
        <v>Main - Genoa - Spinnaker</v>
      </c>
      <c r="I260" s="171">
        <v>38856</v>
      </c>
      <c r="J260" s="171">
        <v>38952</v>
      </c>
      <c r="K260" s="172" t="s">
        <v>741</v>
      </c>
      <c r="L260" s="172" t="s">
        <v>742</v>
      </c>
      <c r="M260" s="171"/>
      <c r="N260" s="87" t="s">
        <v>541</v>
      </c>
      <c r="O260" s="87"/>
      <c r="P260" s="185">
        <v>6.7</v>
      </c>
      <c r="Q260" s="175">
        <v>9.0299999999999994</v>
      </c>
      <c r="R260" s="78"/>
      <c r="S260" s="59">
        <f t="shared" si="286"/>
        <v>0.22575000000000001</v>
      </c>
      <c r="T260" s="176">
        <v>0.4</v>
      </c>
      <c r="U260" s="176">
        <v>0</v>
      </c>
      <c r="V260" s="61">
        <f t="shared" si="287"/>
        <v>8.629999999999999</v>
      </c>
      <c r="W260" s="62">
        <f>IF(RL&gt;0,IF(RL&gt;'Look Ups'!R$7,'Look Ups'!R$8,('Look Ups'!R$3*RL^3+'Look Ups'!R$4*RL^2+'Look Ups'!R$5*RL+'Look Ups'!R$6)),0)</f>
        <v>0.29572761635100003</v>
      </c>
      <c r="X260" s="177">
        <v>2050</v>
      </c>
      <c r="Y260" s="178"/>
      <c r="Z260" s="178"/>
      <c r="AA260" s="178"/>
      <c r="AB260" s="65">
        <f t="shared" si="288"/>
        <v>2050</v>
      </c>
      <c r="AC260" s="66">
        <f t="shared" si="289"/>
        <v>2050</v>
      </c>
      <c r="AD260" s="179" t="s">
        <v>129</v>
      </c>
      <c r="AE260" s="180" t="s">
        <v>130</v>
      </c>
      <c r="AF260" s="181" t="s">
        <v>131</v>
      </c>
      <c r="AG260" s="70">
        <f>IF(C260="",0,VLOOKUP(AD260,'Look Ups'!$B$3:$C$6,2,0)*VLOOKUP(AE260,'Look Ups'!$E$3:$F$5,2,0)*VLOOKUP(AF260,'Look Ups'!$H$3:$I$7,2,0))</f>
        <v>1</v>
      </c>
      <c r="AH260" s="80">
        <v>11.89</v>
      </c>
      <c r="AI260" s="77">
        <v>11.65</v>
      </c>
      <c r="AJ260" s="77">
        <v>3.46</v>
      </c>
      <c r="AK260" s="77">
        <v>0.92</v>
      </c>
      <c r="AL260" s="77">
        <v>0.72</v>
      </c>
      <c r="AM260" s="77">
        <v>11.49</v>
      </c>
      <c r="AN260" s="77">
        <v>0.17</v>
      </c>
      <c r="AO260" s="77">
        <v>3.65</v>
      </c>
      <c r="AP260" s="77">
        <v>0.06</v>
      </c>
      <c r="AQ260" s="77">
        <v>0</v>
      </c>
      <c r="AR260" s="77" t="s">
        <v>132</v>
      </c>
      <c r="AS260" s="87">
        <v>0</v>
      </c>
      <c r="AT260" s="59">
        <f t="shared" si="290"/>
        <v>11.55</v>
      </c>
      <c r="AU260" s="59">
        <f t="shared" si="291"/>
        <v>0</v>
      </c>
      <c r="AV260" s="72">
        <f>IF(C260="",0,(0.5*(_ML1*LPM)+0.5*(_ML1*HB)+0.66*(P*PR)+0.66*(_ML2*RDM)+0.66*(E*ER))*VLOOKUP(BATT,'Look Ups'!$N$3:$O$4,2,0))</f>
        <v>33.008898000000002</v>
      </c>
      <c r="AW260" s="182"/>
      <c r="AX260" s="183"/>
      <c r="AY260" s="80">
        <v>11.03</v>
      </c>
      <c r="AZ260" s="77">
        <v>3.52</v>
      </c>
      <c r="BA260" s="77">
        <v>4.07</v>
      </c>
      <c r="BB260" s="77">
        <v>0.1</v>
      </c>
      <c r="BC260" s="77">
        <v>9.66</v>
      </c>
      <c r="BD260" s="77"/>
      <c r="BE260" s="77"/>
      <c r="BF260" s="77">
        <v>0</v>
      </c>
      <c r="BG260" s="77">
        <v>-0.14000000000000001</v>
      </c>
      <c r="BH260" s="87">
        <v>0</v>
      </c>
      <c r="BI260" s="72">
        <f t="shared" si="292"/>
        <v>18.662247999999998</v>
      </c>
      <c r="BJ260" s="76"/>
      <c r="BK260" s="77"/>
      <c r="BL260" s="78"/>
      <c r="BM260" s="78"/>
      <c r="BN260" s="77"/>
      <c r="BO260" s="78"/>
      <c r="BP260" s="78"/>
      <c r="BQ260" s="79">
        <f t="shared" si="293"/>
        <v>0</v>
      </c>
      <c r="BR260" s="80"/>
      <c r="BS260" s="77"/>
      <c r="BT260" s="77"/>
      <c r="BU260" s="77"/>
      <c r="BV260" s="77"/>
      <c r="BW260" s="77"/>
      <c r="BX260" s="77"/>
      <c r="BY260" s="72">
        <f t="shared" si="294"/>
        <v>0</v>
      </c>
      <c r="BZ260" s="182">
        <v>8.73</v>
      </c>
      <c r="CA260" s="77">
        <v>14.02</v>
      </c>
      <c r="CB260" s="77">
        <v>12.08</v>
      </c>
      <c r="CC260" s="77">
        <v>6.65</v>
      </c>
      <c r="CD260" s="65">
        <f t="shared" si="295"/>
        <v>76.174112256586483</v>
      </c>
      <c r="CE260" s="87">
        <v>0</v>
      </c>
      <c r="CF260" s="79">
        <f t="shared" si="296"/>
        <v>76.842750000000009</v>
      </c>
      <c r="CG260" s="80">
        <v>0</v>
      </c>
      <c r="CH260" s="77">
        <v>0</v>
      </c>
      <c r="CI260" s="77">
        <v>0</v>
      </c>
      <c r="CJ260" s="77">
        <v>0</v>
      </c>
      <c r="CK260" s="59" t="str">
        <f t="shared" ref="CK260:CK291" si="311">IF(CG260&gt;0,CJ260/CG260*100,"")</f>
        <v/>
      </c>
      <c r="CL260" s="87">
        <v>0</v>
      </c>
      <c r="CM260" s="72">
        <f t="shared" si="297"/>
        <v>0</v>
      </c>
      <c r="CN260" s="81">
        <f t="shared" si="298"/>
        <v>1</v>
      </c>
      <c r="CO260" s="59">
        <f t="shared" si="299"/>
        <v>33.008898000000002</v>
      </c>
      <c r="CP260" s="59">
        <f t="shared" si="300"/>
        <v>1</v>
      </c>
      <c r="CQ260" s="59">
        <f t="shared" si="301"/>
        <v>18.662247999999998</v>
      </c>
      <c r="CR260" s="59">
        <f>IF(AV260&gt;0,'Look Ups'!$L$3,0)</f>
        <v>1</v>
      </c>
      <c r="CS260" s="59">
        <f t="shared" si="302"/>
        <v>0</v>
      </c>
      <c r="CT260" s="59">
        <f t="shared" ref="CT260:CT291" si="312">EFS*AS</f>
        <v>0</v>
      </c>
      <c r="CU260" s="59">
        <f t="shared" ref="CU260:CU291" si="313">IF(LPD&gt;0,0.72*(AD/(LPD^2))^0.3,0)</f>
        <v>0</v>
      </c>
      <c r="CV260" s="79">
        <f t="shared" ref="CV260:CV291" si="314">IF((AD-AG)&gt;0,0.3*(AD-AG)*EFD,0)</f>
        <v>0</v>
      </c>
      <c r="CW260" s="82" t="str">
        <f t="shared" si="303"/>
        <v>-</v>
      </c>
      <c r="CX260" s="65" t="str">
        <f t="shared" si="304"/>
        <v>valid</v>
      </c>
      <c r="CY260" s="66" t="str">
        <f t="shared" si="284"/>
        <v>MGSp</v>
      </c>
      <c r="CZ260" s="81">
        <f t="shared" si="305"/>
        <v>51.671146</v>
      </c>
      <c r="DA260" s="59">
        <f t="shared" si="306"/>
        <v>17.454150600000002</v>
      </c>
      <c r="DB260" s="59">
        <f t="shared" si="307"/>
        <v>0</v>
      </c>
      <c r="DC260" s="59">
        <f t="shared" si="308"/>
        <v>17.163248090000003</v>
      </c>
      <c r="DD260" s="59">
        <f t="shared" si="309"/>
        <v>0</v>
      </c>
      <c r="DE260" s="79">
        <f t="shared" si="310"/>
        <v>53.220584199999998</v>
      </c>
      <c r="DF260" s="83">
        <f t="shared" si="285"/>
        <v>69.125296599999999</v>
      </c>
    </row>
    <row r="261" spans="2:110" ht="16.5" customHeight="1" x14ac:dyDescent="0.25">
      <c r="B261" s="168"/>
      <c r="C261" s="168" t="s">
        <v>743</v>
      </c>
      <c r="D261" s="184" t="s">
        <v>744</v>
      </c>
      <c r="E261" s="170" t="s">
        <v>396</v>
      </c>
      <c r="F261" s="50">
        <f t="shared" ref="F261:F318" si="315">IF(RW=0,0,DLF*(0.93*RL^LF*RSA^0.4/RW^0.325))</f>
        <v>0.74078108413804966</v>
      </c>
      <c r="G261" s="50" t="str">
        <f t="shared" ref="G261:G292" ca="1" si="316">IF(F261&gt;0,IF(OR(TODAY()-3650&gt;I261,CW261="ERROR",CX261="ERROR"),"No","Yes"),0)</f>
        <v>No</v>
      </c>
      <c r="H261" s="51" t="str">
        <f t="shared" ref="H261:H292" si="317">IF(CY261="","",IF(CY261="MG","Main - Genoa",IF(CY261="MGScr","Main - Genoa - Screacher",IF(CY261="MGSp","Main - Genoa - Spinnaker",IF(CY261="MGScrSp","Main - Genoa - Screacher - Spinnaker","Invalid"))))&amp;IF(AS&gt;0," - Staysail ","")&amp;IF(AD&gt;0," - Drifter","")&amp;IF(RSAMZ&gt;0," - Mizzen","")&amp;IF(RSA2M&gt;0," - Bi-Rig",""))</f>
        <v>Main - Genoa - Spinnaker</v>
      </c>
      <c r="I261" s="171">
        <v>39096</v>
      </c>
      <c r="J261" s="171"/>
      <c r="K261" s="172" t="s">
        <v>255</v>
      </c>
      <c r="L261" s="172" t="s">
        <v>236</v>
      </c>
      <c r="M261" s="171"/>
      <c r="N261" s="87">
        <v>1</v>
      </c>
      <c r="O261" s="87"/>
      <c r="P261" s="185">
        <v>8.4</v>
      </c>
      <c r="Q261" s="175">
        <v>10</v>
      </c>
      <c r="R261" s="78"/>
      <c r="S261" s="59">
        <f t="shared" si="286"/>
        <v>0.25</v>
      </c>
      <c r="T261" s="176">
        <v>0.36</v>
      </c>
      <c r="U261" s="176">
        <v>0</v>
      </c>
      <c r="V261" s="61">
        <f t="shared" si="287"/>
        <v>9.64</v>
      </c>
      <c r="W261" s="62">
        <f>IF(RL&gt;0,IF(RL&gt;'Look Ups'!R$7,'Look Ups'!R$8,('Look Ups'!R$3*RL^3+'Look Ups'!R$4*RL^2+'Look Ups'!R$5*RL+'Look Ups'!R$6)),0)</f>
        <v>0.29794132435200005</v>
      </c>
      <c r="X261" s="177">
        <v>3100</v>
      </c>
      <c r="Y261" s="178">
        <v>0</v>
      </c>
      <c r="Z261" s="178"/>
      <c r="AA261" s="178"/>
      <c r="AB261" s="65">
        <f t="shared" si="288"/>
        <v>3100</v>
      </c>
      <c r="AC261" s="66">
        <f t="shared" si="289"/>
        <v>3100</v>
      </c>
      <c r="AD261" s="179" t="s">
        <v>129</v>
      </c>
      <c r="AE261" s="180" t="s">
        <v>130</v>
      </c>
      <c r="AF261" s="181" t="s">
        <v>300</v>
      </c>
      <c r="AG261" s="70">
        <f>IF(C261="",0,VLOOKUP(AD261,'Look Ups'!$B$3:$C$6,2,0)*VLOOKUP(AE261,'Look Ups'!$E$3:$F$5,2,0)*VLOOKUP(AF261,'Look Ups'!$H$3:$I$7,2,0))</f>
        <v>0.995</v>
      </c>
      <c r="AH261" s="80">
        <v>12.39</v>
      </c>
      <c r="AI261" s="77">
        <v>10.58</v>
      </c>
      <c r="AJ261" s="77">
        <v>3.87</v>
      </c>
      <c r="AK261" s="77">
        <v>1.06</v>
      </c>
      <c r="AL261" s="77">
        <v>0.63</v>
      </c>
      <c r="AM261" s="77">
        <v>11.54</v>
      </c>
      <c r="AN261" s="77">
        <v>0.15</v>
      </c>
      <c r="AO261" s="77">
        <v>4.18</v>
      </c>
      <c r="AP261" s="77">
        <v>0</v>
      </c>
      <c r="AQ261" s="77">
        <v>0</v>
      </c>
      <c r="AR261" s="77" t="s">
        <v>132</v>
      </c>
      <c r="AS261" s="87" t="s">
        <v>745</v>
      </c>
      <c r="AT261" s="59">
        <f t="shared" si="290"/>
        <v>11.54</v>
      </c>
      <c r="AU261" s="59">
        <f t="shared" si="291"/>
        <v>0</v>
      </c>
      <c r="AV261" s="72">
        <f>IF(C261="",0,(0.5*(_ML1*LPM)+0.5*(_ML1*HB)+0.66*(P*PR)+0.66*(_ML2*RDM)+0.66*(E*ER))*VLOOKUP(BATT,'Look Ups'!$N$3:$O$4,2,0))</f>
        <v>36.082974</v>
      </c>
      <c r="AW261" s="182"/>
      <c r="AX261" s="183"/>
      <c r="AY261" s="80">
        <v>10.81</v>
      </c>
      <c r="AZ261" s="77">
        <v>3.83</v>
      </c>
      <c r="BA261" s="77">
        <v>4.53</v>
      </c>
      <c r="BB261" s="77">
        <v>0.05</v>
      </c>
      <c r="BC261" s="77">
        <v>9.2200000000000006</v>
      </c>
      <c r="BD261" s="77"/>
      <c r="BE261" s="77"/>
      <c r="BF261" s="77">
        <v>0</v>
      </c>
      <c r="BG261" s="77">
        <v>-0.08</v>
      </c>
      <c r="BH261" s="87" t="s">
        <v>397</v>
      </c>
      <c r="BI261" s="72">
        <f t="shared" si="292"/>
        <v>20.279872000000001</v>
      </c>
      <c r="BJ261" s="76"/>
      <c r="BK261" s="77"/>
      <c r="BL261" s="78"/>
      <c r="BM261" s="78"/>
      <c r="BN261" s="77"/>
      <c r="BO261" s="78"/>
      <c r="BP261" s="78"/>
      <c r="BQ261" s="79">
        <f t="shared" si="293"/>
        <v>0</v>
      </c>
      <c r="BR261" s="80"/>
      <c r="BS261" s="77"/>
      <c r="BT261" s="77"/>
      <c r="BU261" s="77"/>
      <c r="BV261" s="77"/>
      <c r="BW261" s="77"/>
      <c r="BX261" s="77"/>
      <c r="BY261" s="72">
        <f t="shared" si="294"/>
        <v>0</v>
      </c>
      <c r="BZ261" s="182">
        <v>7.5</v>
      </c>
      <c r="CA261" s="77">
        <v>13.69</v>
      </c>
      <c r="CB261" s="77">
        <v>11.03</v>
      </c>
      <c r="CC261" s="77">
        <v>7.24</v>
      </c>
      <c r="CD261" s="65">
        <f t="shared" si="295"/>
        <v>96.533333333333331</v>
      </c>
      <c r="CE261" s="87" t="s">
        <v>746</v>
      </c>
      <c r="CF261" s="79">
        <f t="shared" si="296"/>
        <v>75.107599999999991</v>
      </c>
      <c r="CG261" s="80"/>
      <c r="CH261" s="77">
        <v>0</v>
      </c>
      <c r="CI261" s="77">
        <v>0</v>
      </c>
      <c r="CJ261" s="77">
        <v>0</v>
      </c>
      <c r="CK261" s="59" t="str">
        <f t="shared" si="311"/>
        <v/>
      </c>
      <c r="CL261" s="87">
        <v>0</v>
      </c>
      <c r="CM261" s="72">
        <f t="shared" si="297"/>
        <v>0</v>
      </c>
      <c r="CN261" s="81">
        <f t="shared" si="298"/>
        <v>1</v>
      </c>
      <c r="CO261" s="59">
        <f t="shared" si="299"/>
        <v>36.082974</v>
      </c>
      <c r="CP261" s="59">
        <f t="shared" si="300"/>
        <v>1</v>
      </c>
      <c r="CQ261" s="59">
        <f t="shared" si="301"/>
        <v>20.279872000000001</v>
      </c>
      <c r="CR261" s="59">
        <f>IF(AV261&gt;0,'Look Ups'!$L$3,0)</f>
        <v>1</v>
      </c>
      <c r="CS261" s="59">
        <f t="shared" si="302"/>
        <v>0</v>
      </c>
      <c r="CT261" s="59">
        <f t="shared" si="312"/>
        <v>0</v>
      </c>
      <c r="CU261" s="59">
        <f t="shared" si="313"/>
        <v>0</v>
      </c>
      <c r="CV261" s="79">
        <f t="shared" si="314"/>
        <v>0</v>
      </c>
      <c r="CW261" s="82" t="str">
        <f t="shared" si="303"/>
        <v>-</v>
      </c>
      <c r="CX261" s="65" t="str">
        <f t="shared" si="304"/>
        <v>valid</v>
      </c>
      <c r="CY261" s="66" t="str">
        <f t="shared" ref="CY261:CY292" si="318">IF(C261="","",IF(CW261="valid",IF(CX261="valid","MGScrSp","MGScr"),IF(CX261="valid","MGSp","MG")))</f>
        <v>MGSp</v>
      </c>
      <c r="CZ261" s="81">
        <f t="shared" si="305"/>
        <v>56.362846000000005</v>
      </c>
      <c r="DA261" s="59">
        <f t="shared" si="306"/>
        <v>16.448318399999998</v>
      </c>
      <c r="DB261" s="59">
        <f t="shared" si="307"/>
        <v>0</v>
      </c>
      <c r="DC261" s="59">
        <f t="shared" si="308"/>
        <v>16.174179759999998</v>
      </c>
      <c r="DD261" s="59">
        <f t="shared" si="309"/>
        <v>0</v>
      </c>
      <c r="DE261" s="79">
        <f t="shared" si="310"/>
        <v>58.069581016000008</v>
      </c>
      <c r="DF261" s="83">
        <f t="shared" si="285"/>
        <v>72.811164399999996</v>
      </c>
    </row>
    <row r="262" spans="2:110" ht="16.5" customHeight="1" x14ac:dyDescent="0.25">
      <c r="B262" s="168"/>
      <c r="C262" s="168" t="s">
        <v>747</v>
      </c>
      <c r="D262" s="169" t="s">
        <v>748</v>
      </c>
      <c r="E262" s="170" t="s">
        <v>348</v>
      </c>
      <c r="F262" s="50">
        <f t="shared" si="315"/>
        <v>0.9210827040565005</v>
      </c>
      <c r="G262" s="50" t="str">
        <f t="shared" ca="1" si="316"/>
        <v>No</v>
      </c>
      <c r="H262" s="51" t="str">
        <f t="shared" si="317"/>
        <v>Main - Genoa - Screacher - Spinnaker</v>
      </c>
      <c r="I262" s="171">
        <v>39150</v>
      </c>
      <c r="J262" s="171">
        <v>39353</v>
      </c>
      <c r="K262" s="172" t="s">
        <v>749</v>
      </c>
      <c r="L262" s="172" t="s">
        <v>390</v>
      </c>
      <c r="M262" s="171"/>
      <c r="N262" s="173" t="s">
        <v>541</v>
      </c>
      <c r="O262" s="173"/>
      <c r="P262" s="186"/>
      <c r="Q262" s="175">
        <v>7.1</v>
      </c>
      <c r="R262" s="78"/>
      <c r="S262" s="59">
        <f t="shared" si="286"/>
        <v>0.17749999999999999</v>
      </c>
      <c r="T262" s="176">
        <v>0.06</v>
      </c>
      <c r="U262" s="176">
        <v>0</v>
      </c>
      <c r="V262" s="61">
        <f t="shared" si="287"/>
        <v>7.04</v>
      </c>
      <c r="W262" s="62">
        <f>IF(RL&gt;0,IF(RL&gt;'Look Ups'!R$7,'Look Ups'!R$8,('Look Ups'!R$3*RL^3+'Look Ups'!R$4*RL^2+'Look Ups'!R$5*RL+'Look Ups'!R$6)),0)</f>
        <v>0.28990791091200002</v>
      </c>
      <c r="X262" s="177">
        <v>786</v>
      </c>
      <c r="Y262" s="178"/>
      <c r="Z262" s="178"/>
      <c r="AA262" s="178"/>
      <c r="AB262" s="65">
        <f t="shared" si="288"/>
        <v>786</v>
      </c>
      <c r="AC262" s="66">
        <f t="shared" si="289"/>
        <v>786</v>
      </c>
      <c r="AD262" s="179" t="s">
        <v>129</v>
      </c>
      <c r="AE262" s="180" t="s">
        <v>130</v>
      </c>
      <c r="AF262" s="181" t="s">
        <v>131</v>
      </c>
      <c r="AG262" s="70">
        <f>IF(C262="",0,VLOOKUP(AD262,'Look Ups'!$B$3:$C$6,2,0)*VLOOKUP(AE262,'Look Ups'!$E$3:$F$5,2,0)*VLOOKUP(AF262,'Look Ups'!$H$3:$I$7,2,0))</f>
        <v>1</v>
      </c>
      <c r="AH262" s="80">
        <v>10.31</v>
      </c>
      <c r="AI262" s="77">
        <v>9.93</v>
      </c>
      <c r="AJ262" s="77">
        <v>3.08</v>
      </c>
      <c r="AK262" s="77">
        <v>1.1599999999999999</v>
      </c>
      <c r="AL262" s="77">
        <v>0.85</v>
      </c>
      <c r="AM262" s="77">
        <v>9.85</v>
      </c>
      <c r="AN262" s="77">
        <v>0.15</v>
      </c>
      <c r="AO262" s="77">
        <v>3.24</v>
      </c>
      <c r="AP262" s="77">
        <v>0.06</v>
      </c>
      <c r="AQ262" s="77">
        <v>0.41</v>
      </c>
      <c r="AR262" s="77" t="s">
        <v>132</v>
      </c>
      <c r="AS262" s="87">
        <v>0</v>
      </c>
      <c r="AT262" s="59">
        <f t="shared" si="290"/>
        <v>9.91</v>
      </c>
      <c r="AU262" s="59">
        <f t="shared" si="291"/>
        <v>1.5144374999999997</v>
      </c>
      <c r="AV262" s="72">
        <f>IF(C262="",0,(0.5*(_ML1*LPM)+0.5*(_ML1*HB)+0.66*(P*PR)+0.66*(_ML2*RDM)+0.66*(E*ER))*VLOOKUP(BATT,'Look Ups'!$N$3:$O$4,2,0))</f>
        <v>28.531384000000003</v>
      </c>
      <c r="AW262" s="182"/>
      <c r="AX262" s="183"/>
      <c r="AY262" s="80">
        <v>10.68</v>
      </c>
      <c r="AZ262" s="77">
        <v>2.7</v>
      </c>
      <c r="BA262" s="77">
        <v>2.85</v>
      </c>
      <c r="BB262" s="77">
        <v>0.08</v>
      </c>
      <c r="BC262" s="77">
        <v>10.1</v>
      </c>
      <c r="BD262" s="77"/>
      <c r="BE262" s="77"/>
      <c r="BF262" s="77">
        <v>-0.19</v>
      </c>
      <c r="BG262" s="77">
        <v>-0.06</v>
      </c>
      <c r="BH262" s="87">
        <v>0</v>
      </c>
      <c r="BI262" s="72">
        <f t="shared" si="292"/>
        <v>12.879011999999999</v>
      </c>
      <c r="BJ262" s="76"/>
      <c r="BK262" s="77"/>
      <c r="BL262" s="78"/>
      <c r="BM262" s="78"/>
      <c r="BN262" s="77"/>
      <c r="BO262" s="78"/>
      <c r="BP262" s="78"/>
      <c r="BQ262" s="79">
        <f t="shared" si="293"/>
        <v>0</v>
      </c>
      <c r="BR262" s="80"/>
      <c r="BS262" s="77"/>
      <c r="BT262" s="77"/>
      <c r="BU262" s="77"/>
      <c r="BV262" s="77"/>
      <c r="BW262" s="77"/>
      <c r="BX262" s="77"/>
      <c r="BY262" s="72">
        <f t="shared" si="294"/>
        <v>0</v>
      </c>
      <c r="BZ262" s="182">
        <v>5.5</v>
      </c>
      <c r="CA262" s="77">
        <v>12.5</v>
      </c>
      <c r="CB262" s="77">
        <v>10.86</v>
      </c>
      <c r="CC262" s="77">
        <v>4.42</v>
      </c>
      <c r="CD262" s="65">
        <f t="shared" si="295"/>
        <v>80.36363636363636</v>
      </c>
      <c r="CE262" s="77">
        <v>0</v>
      </c>
      <c r="CF262" s="79">
        <f t="shared" si="296"/>
        <v>45.123733333333327</v>
      </c>
      <c r="CG262" s="80">
        <v>5.93</v>
      </c>
      <c r="CH262" s="77">
        <v>11.32</v>
      </c>
      <c r="CI262" s="77">
        <v>9.4600000000000009</v>
      </c>
      <c r="CJ262" s="77">
        <v>2.98</v>
      </c>
      <c r="CK262" s="59">
        <f t="shared" si="311"/>
        <v>50.252951096121421</v>
      </c>
      <c r="CL262" s="77">
        <v>0</v>
      </c>
      <c r="CM262" s="72">
        <f t="shared" si="297"/>
        <v>30.910250000000001</v>
      </c>
      <c r="CN262" s="81">
        <f t="shared" si="298"/>
        <v>1</v>
      </c>
      <c r="CO262" s="59">
        <f t="shared" si="299"/>
        <v>30.045821500000002</v>
      </c>
      <c r="CP262" s="59">
        <f t="shared" si="300"/>
        <v>1</v>
      </c>
      <c r="CQ262" s="59">
        <f t="shared" si="301"/>
        <v>12.879011999999999</v>
      </c>
      <c r="CR262" s="59">
        <f>IF(AV262&gt;0,'Look Ups'!$L$3,0)</f>
        <v>1</v>
      </c>
      <c r="CS262" s="59">
        <f t="shared" si="302"/>
        <v>0</v>
      </c>
      <c r="CT262" s="59">
        <f t="shared" si="312"/>
        <v>0</v>
      </c>
      <c r="CU262" s="59">
        <f t="shared" si="313"/>
        <v>0</v>
      </c>
      <c r="CV262" s="79">
        <f t="shared" si="314"/>
        <v>0</v>
      </c>
      <c r="CW262" s="82" t="str">
        <f t="shared" si="303"/>
        <v>valid</v>
      </c>
      <c r="CX262" s="65" t="str">
        <f t="shared" si="304"/>
        <v>valid</v>
      </c>
      <c r="CY262" s="66" t="str">
        <f t="shared" si="318"/>
        <v>MGScrSp</v>
      </c>
      <c r="CZ262" s="81">
        <f t="shared" si="305"/>
        <v>42.924833500000005</v>
      </c>
      <c r="DA262" s="59">
        <f t="shared" si="306"/>
        <v>9.6734163999999989</v>
      </c>
      <c r="DB262" s="59">
        <f t="shared" si="307"/>
        <v>6.3109333000000003</v>
      </c>
      <c r="DC262" s="59">
        <f t="shared" si="308"/>
        <v>9.5121927933333321</v>
      </c>
      <c r="DD262" s="59">
        <f t="shared" si="309"/>
        <v>0.99171809000000011</v>
      </c>
      <c r="DE262" s="79">
        <f t="shared" si="310"/>
        <v>44.778848926000009</v>
      </c>
      <c r="DF262" s="83">
        <f t="shared" si="285"/>
        <v>53.428744383333338</v>
      </c>
    </row>
    <row r="263" spans="2:110" ht="16.5" customHeight="1" x14ac:dyDescent="0.25">
      <c r="B263" s="168"/>
      <c r="C263" s="168" t="s">
        <v>750</v>
      </c>
      <c r="D263" s="184" t="s">
        <v>751</v>
      </c>
      <c r="E263" s="170" t="s">
        <v>516</v>
      </c>
      <c r="F263" s="50">
        <f t="shared" si="315"/>
        <v>0.68529268433343826</v>
      </c>
      <c r="G263" s="50" t="str">
        <f t="shared" ca="1" si="316"/>
        <v>No</v>
      </c>
      <c r="H263" s="51" t="str">
        <f t="shared" si="317"/>
        <v>Main - Genoa</v>
      </c>
      <c r="I263" s="171">
        <v>39101</v>
      </c>
      <c r="J263" s="171">
        <v>39101</v>
      </c>
      <c r="K263" s="172" t="s">
        <v>752</v>
      </c>
      <c r="L263" s="172" t="s">
        <v>753</v>
      </c>
      <c r="M263" s="171"/>
      <c r="N263" s="87" t="s">
        <v>537</v>
      </c>
      <c r="O263" s="87"/>
      <c r="P263" s="185">
        <v>4.97</v>
      </c>
      <c r="Q263" s="175">
        <v>7.3</v>
      </c>
      <c r="R263" s="78"/>
      <c r="S263" s="59">
        <f t="shared" si="286"/>
        <v>0.1825</v>
      </c>
      <c r="T263" s="176">
        <v>0.4</v>
      </c>
      <c r="U263" s="176">
        <v>0</v>
      </c>
      <c r="V263" s="61">
        <f t="shared" si="287"/>
        <v>6.8999999999999995</v>
      </c>
      <c r="W263" s="62">
        <f>IF(RL&gt;0,IF(RL&gt;'Look Ups'!R$7,'Look Ups'!R$8,('Look Ups'!R$3*RL^3+'Look Ups'!R$4*RL^2+'Look Ups'!R$5*RL+'Look Ups'!R$6)),0)</f>
        <v>0.28923679700000005</v>
      </c>
      <c r="X263" s="177">
        <v>1230</v>
      </c>
      <c r="Y263" s="178"/>
      <c r="Z263" s="178"/>
      <c r="AA263" s="178"/>
      <c r="AB263" s="65">
        <f t="shared" si="288"/>
        <v>1230</v>
      </c>
      <c r="AC263" s="66">
        <f t="shared" si="289"/>
        <v>1230</v>
      </c>
      <c r="AD263" s="179" t="s">
        <v>154</v>
      </c>
      <c r="AE263" s="180" t="s">
        <v>130</v>
      </c>
      <c r="AF263" s="181" t="s">
        <v>131</v>
      </c>
      <c r="AG263" s="70">
        <f>IF(C263="",0,VLOOKUP(AD263,'Look Ups'!$B$3:$C$6,2,0)*VLOOKUP(AE263,'Look Ups'!$E$3:$F$5,2,0)*VLOOKUP(AF263,'Look Ups'!$H$3:$I$7,2,0))</f>
        <v>0.99</v>
      </c>
      <c r="AH263" s="80">
        <v>8.8699999999999992</v>
      </c>
      <c r="AI263" s="77">
        <v>8.17</v>
      </c>
      <c r="AJ263" s="77">
        <v>3.45</v>
      </c>
      <c r="AK263" s="77">
        <v>0.49</v>
      </c>
      <c r="AL263" s="77">
        <v>0.79</v>
      </c>
      <c r="AM263" s="77">
        <v>8.2100000000000009</v>
      </c>
      <c r="AN263" s="77">
        <v>0.12</v>
      </c>
      <c r="AO263" s="77">
        <v>3.45</v>
      </c>
      <c r="AP263" s="77">
        <v>0</v>
      </c>
      <c r="AQ263" s="77"/>
      <c r="AR263" s="77" t="s">
        <v>132</v>
      </c>
      <c r="AS263" s="87">
        <v>0</v>
      </c>
      <c r="AT263" s="59">
        <f t="shared" si="290"/>
        <v>8.2100000000000009</v>
      </c>
      <c r="AU263" s="59">
        <f t="shared" si="291"/>
        <v>0</v>
      </c>
      <c r="AV263" s="72">
        <f>IF(C263="",0,(0.5*(_ML1*LPM)+0.5*(_ML1*HB)+0.66*(P*PR)+0.66*(_ML2*RDM)+0.66*(E*ER))*VLOOKUP(BATT,'Look Ups'!$N$3:$O$4,2,0))</f>
        <v>22.383969999999998</v>
      </c>
      <c r="AW263" s="182"/>
      <c r="AX263" s="183"/>
      <c r="AY263" s="80">
        <v>8.4</v>
      </c>
      <c r="AZ263" s="77">
        <v>3.65</v>
      </c>
      <c r="BA263" s="77">
        <v>4.0199999999999996</v>
      </c>
      <c r="BB263" s="77">
        <v>0.11</v>
      </c>
      <c r="BC263" s="77">
        <v>7.6</v>
      </c>
      <c r="BD263" s="77"/>
      <c r="BE263" s="77"/>
      <c r="BF263" s="77">
        <v>0</v>
      </c>
      <c r="BG263" s="77">
        <v>-8.5000000000000006E-2</v>
      </c>
      <c r="BH263" s="87">
        <v>0</v>
      </c>
      <c r="BI263" s="72">
        <f t="shared" si="292"/>
        <v>15.150612000000001</v>
      </c>
      <c r="BJ263" s="76"/>
      <c r="BK263" s="77"/>
      <c r="BL263" s="78"/>
      <c r="BM263" s="78"/>
      <c r="BN263" s="77"/>
      <c r="BO263" s="78"/>
      <c r="BP263" s="78"/>
      <c r="BQ263" s="79">
        <f t="shared" si="293"/>
        <v>0</v>
      </c>
      <c r="BR263" s="80"/>
      <c r="BS263" s="77"/>
      <c r="BT263" s="77"/>
      <c r="BU263" s="77"/>
      <c r="BV263" s="77"/>
      <c r="BW263" s="77"/>
      <c r="BX263" s="77"/>
      <c r="BY263" s="72">
        <f t="shared" si="294"/>
        <v>0</v>
      </c>
      <c r="BZ263" s="182"/>
      <c r="CA263" s="77"/>
      <c r="CB263" s="77"/>
      <c r="CC263" s="77"/>
      <c r="CD263" s="65" t="str">
        <f t="shared" si="295"/>
        <v/>
      </c>
      <c r="CE263" s="87">
        <v>0</v>
      </c>
      <c r="CF263" s="79">
        <f t="shared" si="296"/>
        <v>0</v>
      </c>
      <c r="CG263" s="80"/>
      <c r="CH263" s="77"/>
      <c r="CI263" s="77"/>
      <c r="CJ263" s="77"/>
      <c r="CK263" s="59" t="str">
        <f t="shared" si="311"/>
        <v/>
      </c>
      <c r="CL263" s="87">
        <v>0</v>
      </c>
      <c r="CM263" s="72">
        <f t="shared" si="297"/>
        <v>0</v>
      </c>
      <c r="CN263" s="81">
        <f t="shared" si="298"/>
        <v>1</v>
      </c>
      <c r="CO263" s="59">
        <f t="shared" si="299"/>
        <v>22.383969999999998</v>
      </c>
      <c r="CP263" s="59">
        <f t="shared" si="300"/>
        <v>1</v>
      </c>
      <c r="CQ263" s="59">
        <f t="shared" si="301"/>
        <v>15.150612000000001</v>
      </c>
      <c r="CR263" s="59">
        <f>IF(AV263&gt;0,'Look Ups'!$L$3,0)</f>
        <v>1</v>
      </c>
      <c r="CS263" s="59">
        <f t="shared" si="302"/>
        <v>0</v>
      </c>
      <c r="CT263" s="59">
        <f t="shared" si="312"/>
        <v>0</v>
      </c>
      <c r="CU263" s="59">
        <f t="shared" si="313"/>
        <v>0</v>
      </c>
      <c r="CV263" s="79">
        <f t="shared" si="314"/>
        <v>0</v>
      </c>
      <c r="CW263" s="82" t="str">
        <f t="shared" si="303"/>
        <v>-</v>
      </c>
      <c r="CX263" s="65" t="str">
        <f t="shared" si="304"/>
        <v>-</v>
      </c>
      <c r="CY263" s="66" t="str">
        <f t="shared" si="318"/>
        <v>MG</v>
      </c>
      <c r="CZ263" s="81">
        <f t="shared" si="305"/>
        <v>37.534582</v>
      </c>
      <c r="DA263" s="59">
        <f t="shared" si="306"/>
        <v>0</v>
      </c>
      <c r="DB263" s="59">
        <f t="shared" si="307"/>
        <v>0</v>
      </c>
      <c r="DC263" s="59">
        <f t="shared" si="308"/>
        <v>0</v>
      </c>
      <c r="DD263" s="59">
        <f t="shared" si="309"/>
        <v>0</v>
      </c>
      <c r="DE263" s="79">
        <f t="shared" si="310"/>
        <v>38.315784663999999</v>
      </c>
      <c r="DF263" s="83">
        <f t="shared" si="285"/>
        <v>38.315784663999999</v>
      </c>
    </row>
    <row r="264" spans="2:110" ht="16.5" customHeight="1" x14ac:dyDescent="0.25">
      <c r="B264" s="168"/>
      <c r="C264" s="47" t="s">
        <v>419</v>
      </c>
      <c r="D264" s="48" t="s">
        <v>420</v>
      </c>
      <c r="E264" s="49" t="s">
        <v>421</v>
      </c>
      <c r="F264" s="50">
        <f t="shared" si="315"/>
        <v>0.90841473243345339</v>
      </c>
      <c r="G264" s="50" t="str">
        <f t="shared" ca="1" si="316"/>
        <v>No</v>
      </c>
      <c r="H264" s="51" t="str">
        <f t="shared" si="317"/>
        <v>Main - Genoa - Spinnaker</v>
      </c>
      <c r="I264" s="52">
        <v>38951</v>
      </c>
      <c r="J264" s="52">
        <v>40766</v>
      </c>
      <c r="K264" s="53" t="s">
        <v>422</v>
      </c>
      <c r="L264" s="53" t="s">
        <v>148</v>
      </c>
      <c r="M264" s="54"/>
      <c r="N264" s="55" t="s">
        <v>127</v>
      </c>
      <c r="O264" s="55"/>
      <c r="P264" s="56"/>
      <c r="Q264" s="57">
        <v>7.99</v>
      </c>
      <c r="R264" s="58"/>
      <c r="S264" s="59">
        <f t="shared" si="286"/>
        <v>0.19975000000000001</v>
      </c>
      <c r="T264" s="60">
        <v>0.05</v>
      </c>
      <c r="U264" s="60">
        <v>0</v>
      </c>
      <c r="V264" s="61">
        <f t="shared" si="287"/>
        <v>7.94</v>
      </c>
      <c r="W264" s="62">
        <f>IF(RL&gt;0,IF(RL&gt;'Look Ups'!R$7,'Look Ups'!R$8,('Look Ups'!R$3*RL^3+'Look Ups'!R$4*RL^2+'Look Ups'!R$5*RL+'Look Ups'!R$6)),0)</f>
        <v>0.293587644072</v>
      </c>
      <c r="X264" s="63">
        <v>1230</v>
      </c>
      <c r="Y264" s="64"/>
      <c r="Z264" s="64"/>
      <c r="AA264" s="64"/>
      <c r="AB264" s="65">
        <f t="shared" si="288"/>
        <v>1230</v>
      </c>
      <c r="AC264" s="66">
        <f t="shared" si="289"/>
        <v>1230</v>
      </c>
      <c r="AD264" s="67" t="s">
        <v>129</v>
      </c>
      <c r="AE264" s="68" t="s">
        <v>130</v>
      </c>
      <c r="AF264" s="69" t="s">
        <v>131</v>
      </c>
      <c r="AG264" s="70">
        <f>IF(C264="",0,VLOOKUP(AD264,'Look Ups'!$B$3:$C$6,2,0)*VLOOKUP(AE264,'Look Ups'!$E$3:$F$5,2,0)*VLOOKUP(AF264,'Look Ups'!$H$3:$I$7,2,0))</f>
        <v>1</v>
      </c>
      <c r="AH264" s="71">
        <v>11.67</v>
      </c>
      <c r="AI264" s="60">
        <v>11.46</v>
      </c>
      <c r="AJ264" s="60">
        <v>3.13</v>
      </c>
      <c r="AK264" s="60">
        <v>0.77500000000000002</v>
      </c>
      <c r="AL264" s="60">
        <v>0.95</v>
      </c>
      <c r="AM264" s="60">
        <v>11.26</v>
      </c>
      <c r="AN264" s="60">
        <v>7.4999999999999997E-2</v>
      </c>
      <c r="AO264" s="60">
        <v>3.25</v>
      </c>
      <c r="AP264" s="60">
        <v>0</v>
      </c>
      <c r="AQ264" s="60">
        <v>0.57999999999999996</v>
      </c>
      <c r="AR264" s="60" t="s">
        <v>132</v>
      </c>
      <c r="AS264" s="75"/>
      <c r="AT264" s="59">
        <f t="shared" si="290"/>
        <v>11.26</v>
      </c>
      <c r="AU264" s="59">
        <f t="shared" si="291"/>
        <v>2.4490499999999997</v>
      </c>
      <c r="AV264" s="72">
        <f>IF(C264="",0,(0.5*(_ML1*LPM)+0.5*(_ML1*HB)+0.66*(P*PR)+0.66*(_ML2*RDM)+0.66*(E*ER))*VLOOKUP(BATT,'Look Ups'!$N$3:$O$4,2,0))</f>
        <v>30.528464999999997</v>
      </c>
      <c r="AW264" s="73"/>
      <c r="AX264" s="74"/>
      <c r="AY264" s="71">
        <v>9.82</v>
      </c>
      <c r="AZ264" s="60">
        <v>3.4</v>
      </c>
      <c r="BA264" s="60">
        <v>3.72</v>
      </c>
      <c r="BB264" s="60">
        <v>0.13</v>
      </c>
      <c r="BC264" s="60">
        <v>8.8800000000000008</v>
      </c>
      <c r="BD264" s="60"/>
      <c r="BE264" s="60"/>
      <c r="BF264" s="60">
        <v>-0.03</v>
      </c>
      <c r="BG264" s="60">
        <v>-0.04</v>
      </c>
      <c r="BH264" s="75"/>
      <c r="BI264" s="72">
        <f t="shared" si="292"/>
        <v>16.578104</v>
      </c>
      <c r="BJ264" s="76"/>
      <c r="BK264" s="77"/>
      <c r="BL264" s="78"/>
      <c r="BM264" s="78"/>
      <c r="BN264" s="77"/>
      <c r="BO264" s="78"/>
      <c r="BP264" s="78"/>
      <c r="BQ264" s="79">
        <f t="shared" si="293"/>
        <v>0</v>
      </c>
      <c r="BR264" s="80"/>
      <c r="BS264" s="77"/>
      <c r="BT264" s="77"/>
      <c r="BU264" s="77"/>
      <c r="BV264" s="77"/>
      <c r="BW264" s="77"/>
      <c r="BX264" s="77"/>
      <c r="BY264" s="72">
        <f t="shared" si="294"/>
        <v>0</v>
      </c>
      <c r="BZ264" s="73">
        <v>7.34</v>
      </c>
      <c r="CA264" s="60">
        <v>13.7</v>
      </c>
      <c r="CB264" s="60">
        <v>12.12</v>
      </c>
      <c r="CC264" s="60">
        <v>6.76</v>
      </c>
      <c r="CD264" s="65">
        <f t="shared" si="295"/>
        <v>92.098092643051771</v>
      </c>
      <c r="CE264" s="60"/>
      <c r="CF264" s="79">
        <f t="shared" si="296"/>
        <v>73.974299999999999</v>
      </c>
      <c r="CG264" s="71"/>
      <c r="CH264" s="60"/>
      <c r="CI264" s="60"/>
      <c r="CJ264" s="60"/>
      <c r="CK264" s="59" t="str">
        <f t="shared" si="311"/>
        <v/>
      </c>
      <c r="CL264" s="60"/>
      <c r="CM264" s="72">
        <f t="shared" si="297"/>
        <v>0</v>
      </c>
      <c r="CN264" s="81">
        <f t="shared" si="298"/>
        <v>1</v>
      </c>
      <c r="CO264" s="59">
        <f t="shared" si="299"/>
        <v>32.977514999999997</v>
      </c>
      <c r="CP264" s="59">
        <f t="shared" si="300"/>
        <v>1</v>
      </c>
      <c r="CQ264" s="59">
        <f t="shared" si="301"/>
        <v>16.578104</v>
      </c>
      <c r="CR264" s="59">
        <f>IF(AV264&gt;0,'Look Ups'!$L$3,0)</f>
        <v>1</v>
      </c>
      <c r="CS264" s="59">
        <f t="shared" si="302"/>
        <v>0</v>
      </c>
      <c r="CT264" s="59">
        <f t="shared" si="312"/>
        <v>0</v>
      </c>
      <c r="CU264" s="59">
        <f t="shared" si="313"/>
        <v>0</v>
      </c>
      <c r="CV264" s="79">
        <f t="shared" si="314"/>
        <v>0</v>
      </c>
      <c r="CW264" s="82" t="str">
        <f t="shared" si="303"/>
        <v>-</v>
      </c>
      <c r="CX264" s="65" t="str">
        <f t="shared" si="304"/>
        <v>valid</v>
      </c>
      <c r="CY264" s="66" t="str">
        <f t="shared" si="318"/>
        <v>MGSp</v>
      </c>
      <c r="CZ264" s="81">
        <f t="shared" si="305"/>
        <v>49.555618999999993</v>
      </c>
      <c r="DA264" s="59">
        <f t="shared" si="306"/>
        <v>17.2188588</v>
      </c>
      <c r="DB264" s="59">
        <f t="shared" si="307"/>
        <v>0</v>
      </c>
      <c r="DC264" s="59">
        <f t="shared" si="308"/>
        <v>16.93187782</v>
      </c>
      <c r="DD264" s="59">
        <f t="shared" si="309"/>
        <v>0</v>
      </c>
      <c r="DE264" s="79">
        <f t="shared" si="310"/>
        <v>51.326755387999995</v>
      </c>
      <c r="DF264" s="83">
        <f t="shared" si="285"/>
        <v>66.7744778</v>
      </c>
    </row>
    <row r="265" spans="2:110" ht="16.5" customHeight="1" x14ac:dyDescent="0.25">
      <c r="B265" s="47"/>
      <c r="C265" s="168" t="s">
        <v>754</v>
      </c>
      <c r="D265" s="169" t="s">
        <v>255</v>
      </c>
      <c r="E265" s="170" t="s">
        <v>255</v>
      </c>
      <c r="F265" s="50">
        <f t="shared" si="315"/>
        <v>0.7331728669424683</v>
      </c>
      <c r="G265" s="50" t="str">
        <f t="shared" ca="1" si="316"/>
        <v>No</v>
      </c>
      <c r="H265" s="51" t="str">
        <f t="shared" si="317"/>
        <v>Main - Genoa - Screacher</v>
      </c>
      <c r="I265" s="171">
        <v>40480</v>
      </c>
      <c r="J265" s="171"/>
      <c r="K265" s="172" t="s">
        <v>755</v>
      </c>
      <c r="L265" s="172" t="s">
        <v>126</v>
      </c>
      <c r="M265" s="171"/>
      <c r="N265" s="173" t="s">
        <v>149</v>
      </c>
      <c r="O265" s="173"/>
      <c r="P265" s="174">
        <v>2.5</v>
      </c>
      <c r="Q265" s="175">
        <v>7.15</v>
      </c>
      <c r="R265" s="78"/>
      <c r="S265" s="59">
        <f t="shared" si="286"/>
        <v>0.17875000000000002</v>
      </c>
      <c r="T265" s="176">
        <v>0.30000000000000004</v>
      </c>
      <c r="U265" s="176">
        <v>0</v>
      </c>
      <c r="V265" s="61">
        <f t="shared" si="287"/>
        <v>6.8500000000000005</v>
      </c>
      <c r="W265" s="62">
        <f>IF(RL&gt;0,IF(RL&gt;'Look Ups'!R$7,'Look Ups'!R$8,('Look Ups'!R$3*RL^3+'Look Ups'!R$4*RL^2+'Look Ups'!R$5*RL+'Look Ups'!R$6)),0)</f>
        <v>0.288990331125</v>
      </c>
      <c r="X265" s="177">
        <v>740</v>
      </c>
      <c r="Y265" s="178"/>
      <c r="Z265" s="178"/>
      <c r="AA265" s="178"/>
      <c r="AB265" s="65">
        <f t="shared" si="288"/>
        <v>740</v>
      </c>
      <c r="AC265" s="66">
        <f t="shared" si="289"/>
        <v>740</v>
      </c>
      <c r="AD265" s="179" t="s">
        <v>129</v>
      </c>
      <c r="AE265" s="180" t="s">
        <v>130</v>
      </c>
      <c r="AF265" s="181" t="s">
        <v>131</v>
      </c>
      <c r="AG265" s="70">
        <f>IF(C265="",0,VLOOKUP(AD265,'Look Ups'!$B$3:$C$6,2,0)*VLOOKUP(AE265,'Look Ups'!$E$3:$F$5,2,0)*VLOOKUP(AF265,'Look Ups'!$H$3:$I$7,2,0))</f>
        <v>1</v>
      </c>
      <c r="AH265" s="80">
        <v>9.08</v>
      </c>
      <c r="AI265" s="77">
        <v>8.8800000000000008</v>
      </c>
      <c r="AJ265" s="77">
        <v>2.87</v>
      </c>
      <c r="AK265" s="77">
        <v>0.72</v>
      </c>
      <c r="AL265" s="77">
        <v>0.20500000000000002</v>
      </c>
      <c r="AM265" s="77">
        <v>8.7799999999999994</v>
      </c>
      <c r="AN265" s="77">
        <v>0.16</v>
      </c>
      <c r="AO265" s="77">
        <v>3</v>
      </c>
      <c r="AP265" s="77">
        <v>0</v>
      </c>
      <c r="AQ265" s="77"/>
      <c r="AR265" s="77" t="s">
        <v>132</v>
      </c>
      <c r="AS265" s="87" t="s">
        <v>423</v>
      </c>
      <c r="AT265" s="59">
        <f t="shared" si="290"/>
        <v>8.7799999999999994</v>
      </c>
      <c r="AU265" s="59">
        <f t="shared" si="291"/>
        <v>0</v>
      </c>
      <c r="AV265" s="72">
        <f>IF(C265="",0,(0.5*(_ML1*LPM)+0.5*(_ML1*HB)+0.66*(P*PR)+0.66*(_ML2*RDM)+0.66*(E*ER))*VLOOKUP(BATT,'Look Ups'!$N$3:$O$4,2,0))</f>
        <v>18.427232</v>
      </c>
      <c r="AW265" s="182"/>
      <c r="AX265" s="183"/>
      <c r="AY265" s="80">
        <v>7.46</v>
      </c>
      <c r="AZ265" s="77">
        <v>2.1949999999999998</v>
      </c>
      <c r="BA265" s="77">
        <v>2.35</v>
      </c>
      <c r="BB265" s="77">
        <v>0.1</v>
      </c>
      <c r="BC265" s="77">
        <v>7.01</v>
      </c>
      <c r="BD265" s="77"/>
      <c r="BE265" s="77"/>
      <c r="BF265" s="77">
        <v>-0.04</v>
      </c>
      <c r="BG265" s="77">
        <v>0</v>
      </c>
      <c r="BH265" s="87" t="s">
        <v>423</v>
      </c>
      <c r="BI265" s="72">
        <f t="shared" si="292"/>
        <v>8.1573859999999989</v>
      </c>
      <c r="BJ265" s="76"/>
      <c r="BK265" s="77"/>
      <c r="BL265" s="78"/>
      <c r="BM265" s="78"/>
      <c r="BN265" s="77"/>
      <c r="BO265" s="78"/>
      <c r="BP265" s="78"/>
      <c r="BQ265" s="79">
        <f t="shared" si="293"/>
        <v>0</v>
      </c>
      <c r="BR265" s="80"/>
      <c r="BS265" s="77"/>
      <c r="BT265" s="77"/>
      <c r="BU265" s="77"/>
      <c r="BV265" s="77"/>
      <c r="BW265" s="77"/>
      <c r="BX265" s="77"/>
      <c r="BY265" s="72">
        <f t="shared" si="294"/>
        <v>0</v>
      </c>
      <c r="BZ265" s="182"/>
      <c r="CA265" s="77"/>
      <c r="CB265" s="77"/>
      <c r="CC265" s="77"/>
      <c r="CD265" s="65" t="str">
        <f t="shared" si="295"/>
        <v/>
      </c>
      <c r="CE265" s="77">
        <v>0</v>
      </c>
      <c r="CF265" s="79">
        <f t="shared" si="296"/>
        <v>0</v>
      </c>
      <c r="CG265" s="80">
        <v>4.09</v>
      </c>
      <c r="CH265" s="77">
        <v>7.68</v>
      </c>
      <c r="CI265" s="77">
        <v>6.64</v>
      </c>
      <c r="CJ265" s="77">
        <v>2.41</v>
      </c>
      <c r="CK265" s="59">
        <f t="shared" si="311"/>
        <v>58.924205378973113</v>
      </c>
      <c r="CL265" s="77" t="s">
        <v>423</v>
      </c>
      <c r="CM265" s="72">
        <f t="shared" si="297"/>
        <v>16.384466666666668</v>
      </c>
      <c r="CN265" s="81">
        <f t="shared" si="298"/>
        <v>1</v>
      </c>
      <c r="CO265" s="59">
        <f t="shared" si="299"/>
        <v>18.427232</v>
      </c>
      <c r="CP265" s="59">
        <f t="shared" si="300"/>
        <v>1</v>
      </c>
      <c r="CQ265" s="59">
        <f t="shared" si="301"/>
        <v>8.1573859999999989</v>
      </c>
      <c r="CR265" s="59">
        <f>IF(AV265&gt;0,'Look Ups'!$L$3,0)</f>
        <v>1</v>
      </c>
      <c r="CS265" s="59">
        <f t="shared" si="302"/>
        <v>0</v>
      </c>
      <c r="CT265" s="59">
        <f t="shared" si="312"/>
        <v>0</v>
      </c>
      <c r="CU265" s="59">
        <f t="shared" si="313"/>
        <v>0</v>
      </c>
      <c r="CV265" s="79">
        <f t="shared" si="314"/>
        <v>0</v>
      </c>
      <c r="CW265" s="82" t="str">
        <f t="shared" si="303"/>
        <v>valid</v>
      </c>
      <c r="CX265" s="65" t="str">
        <f t="shared" si="304"/>
        <v>-</v>
      </c>
      <c r="CY265" s="66" t="str">
        <f t="shared" si="318"/>
        <v>MGScr</v>
      </c>
      <c r="CZ265" s="81">
        <f t="shared" si="305"/>
        <v>26.584617999999999</v>
      </c>
      <c r="DA265" s="59">
        <f t="shared" si="306"/>
        <v>0</v>
      </c>
      <c r="DB265" s="59">
        <f t="shared" si="307"/>
        <v>2.8794782333333342</v>
      </c>
      <c r="DC265" s="59">
        <f t="shared" si="308"/>
        <v>0</v>
      </c>
      <c r="DD265" s="59">
        <f t="shared" si="309"/>
        <v>0.4524894366666668</v>
      </c>
      <c r="DE265" s="79">
        <f t="shared" si="310"/>
        <v>27.693761368000001</v>
      </c>
      <c r="DF265" s="83">
        <f t="shared" si="285"/>
        <v>29.464096233333333</v>
      </c>
    </row>
    <row r="266" spans="2:110" ht="16.5" customHeight="1" x14ac:dyDescent="0.25">
      <c r="B266" s="168"/>
      <c r="C266" s="168" t="s">
        <v>756</v>
      </c>
      <c r="D266" s="184" t="s">
        <v>573</v>
      </c>
      <c r="E266" s="170" t="s">
        <v>757</v>
      </c>
      <c r="F266" s="50">
        <f t="shared" si="315"/>
        <v>0.85600152468101509</v>
      </c>
      <c r="G266" s="50" t="str">
        <f t="shared" ca="1" si="316"/>
        <v>No</v>
      </c>
      <c r="H266" s="51" t="str">
        <f t="shared" si="317"/>
        <v>Main - Genoa - Spinnaker</v>
      </c>
      <c r="I266" s="171">
        <v>38731</v>
      </c>
      <c r="J266" s="171">
        <v>38970</v>
      </c>
      <c r="K266" s="172" t="s">
        <v>418</v>
      </c>
      <c r="L266" s="172" t="s">
        <v>418</v>
      </c>
      <c r="M266" s="171"/>
      <c r="N266" s="87" t="s">
        <v>541</v>
      </c>
      <c r="O266" s="87"/>
      <c r="P266" s="185"/>
      <c r="Q266" s="175">
        <v>9.1999999999999993</v>
      </c>
      <c r="R266" s="78"/>
      <c r="S266" s="59">
        <f t="shared" si="286"/>
        <v>0.22999999999999998</v>
      </c>
      <c r="T266" s="176">
        <v>0.1</v>
      </c>
      <c r="U266" s="176">
        <v>0</v>
      </c>
      <c r="V266" s="61">
        <f t="shared" si="287"/>
        <v>9.1</v>
      </c>
      <c r="W266" s="62">
        <f>IF(RL&gt;0,IF(RL&gt;'Look Ups'!R$7,'Look Ups'!R$8,('Look Ups'!R$3*RL^3+'Look Ups'!R$4*RL^2+'Look Ups'!R$5*RL+'Look Ups'!R$6)),0)</f>
        <v>0.29688384300000004</v>
      </c>
      <c r="X266" s="177">
        <v>2350</v>
      </c>
      <c r="Y266" s="178">
        <v>0</v>
      </c>
      <c r="Z266" s="178"/>
      <c r="AA266" s="178"/>
      <c r="AB266" s="65">
        <f t="shared" si="288"/>
        <v>2350</v>
      </c>
      <c r="AC266" s="66">
        <f t="shared" si="289"/>
        <v>2350</v>
      </c>
      <c r="AD266" s="179" t="s">
        <v>129</v>
      </c>
      <c r="AE266" s="180" t="s">
        <v>130</v>
      </c>
      <c r="AF266" s="181" t="s">
        <v>131</v>
      </c>
      <c r="AG266" s="70">
        <f>IF(C266="",0,VLOOKUP(AD266,'Look Ups'!$B$3:$C$6,2,0)*VLOOKUP(AE266,'Look Ups'!$E$3:$F$5,2,0)*VLOOKUP(AF266,'Look Ups'!$H$3:$I$7,2,0))</f>
        <v>1</v>
      </c>
      <c r="AH266" s="80">
        <v>13.23</v>
      </c>
      <c r="AI266" s="77">
        <v>13</v>
      </c>
      <c r="AJ266" s="77">
        <v>4.37</v>
      </c>
      <c r="AK266" s="77">
        <v>0.9</v>
      </c>
      <c r="AL266" s="77">
        <v>0.77</v>
      </c>
      <c r="AM266" s="77">
        <v>12.77</v>
      </c>
      <c r="AN266" s="77">
        <v>0.30000000000000004</v>
      </c>
      <c r="AO266" s="77">
        <v>4.57</v>
      </c>
      <c r="AP266" s="77">
        <v>0.02</v>
      </c>
      <c r="AQ266" s="77">
        <v>0</v>
      </c>
      <c r="AR266" s="77" t="s">
        <v>132</v>
      </c>
      <c r="AS266" s="87">
        <v>0</v>
      </c>
      <c r="AT266" s="59">
        <f t="shared" si="290"/>
        <v>12.79</v>
      </c>
      <c r="AU266" s="59">
        <f t="shared" si="291"/>
        <v>0</v>
      </c>
      <c r="AV266" s="72">
        <f>IF(C266="",0,(0.5*(_ML1*LPM)+0.5*(_ML1*HB)+0.66*(P*PR)+0.66*(_ML2*RDM)+0.66*(E*ER))*VLOOKUP(BATT,'Look Ups'!$N$3:$O$4,2,0))</f>
        <v>44.056434000000003</v>
      </c>
      <c r="AW266" s="182"/>
      <c r="AX266" s="183"/>
      <c r="AY266" s="80">
        <v>10.37</v>
      </c>
      <c r="AZ266" s="77">
        <v>3.47</v>
      </c>
      <c r="BA266" s="77">
        <v>3.77</v>
      </c>
      <c r="BB266" s="77">
        <v>0.1</v>
      </c>
      <c r="BC266" s="77">
        <v>9.56</v>
      </c>
      <c r="BD266" s="77"/>
      <c r="BE266" s="77"/>
      <c r="BF266" s="77">
        <v>-0.06</v>
      </c>
      <c r="BG266" s="77">
        <v>-0.1</v>
      </c>
      <c r="BH266" s="87">
        <v>0</v>
      </c>
      <c r="BI266" s="72">
        <f t="shared" si="292"/>
        <v>17.177773999999999</v>
      </c>
      <c r="BJ266" s="76"/>
      <c r="BK266" s="77"/>
      <c r="BL266" s="78"/>
      <c r="BM266" s="78"/>
      <c r="BN266" s="77"/>
      <c r="BO266" s="78"/>
      <c r="BP266" s="78"/>
      <c r="BQ266" s="79">
        <f t="shared" si="293"/>
        <v>0</v>
      </c>
      <c r="BR266" s="80"/>
      <c r="BS266" s="77"/>
      <c r="BT266" s="77"/>
      <c r="BU266" s="77"/>
      <c r="BV266" s="77"/>
      <c r="BW266" s="77"/>
      <c r="BX266" s="77"/>
      <c r="BY266" s="72">
        <f t="shared" si="294"/>
        <v>0</v>
      </c>
      <c r="BZ266" s="182">
        <v>8.39</v>
      </c>
      <c r="CA266" s="77">
        <v>15.68</v>
      </c>
      <c r="CB266" s="77">
        <v>13.27</v>
      </c>
      <c r="CC266" s="77">
        <v>8.42</v>
      </c>
      <c r="CD266" s="65">
        <f t="shared" si="295"/>
        <v>100.357568533969</v>
      </c>
      <c r="CE266" s="87">
        <v>0</v>
      </c>
      <c r="CF266" s="79">
        <f t="shared" si="296"/>
        <v>101.493875</v>
      </c>
      <c r="CG266" s="80"/>
      <c r="CH266" s="77">
        <v>0</v>
      </c>
      <c r="CI266" s="77">
        <v>0</v>
      </c>
      <c r="CJ266" s="77">
        <v>0</v>
      </c>
      <c r="CK266" s="59" t="str">
        <f t="shared" si="311"/>
        <v/>
      </c>
      <c r="CL266" s="87">
        <v>0</v>
      </c>
      <c r="CM266" s="72">
        <f t="shared" si="297"/>
        <v>0</v>
      </c>
      <c r="CN266" s="81">
        <f t="shared" si="298"/>
        <v>1</v>
      </c>
      <c r="CO266" s="59">
        <f t="shared" si="299"/>
        <v>44.056434000000003</v>
      </c>
      <c r="CP266" s="59">
        <f t="shared" si="300"/>
        <v>1</v>
      </c>
      <c r="CQ266" s="59">
        <f t="shared" si="301"/>
        <v>17.177773999999999</v>
      </c>
      <c r="CR266" s="59">
        <f>IF(AV266&gt;0,'Look Ups'!$L$3,0)</f>
        <v>1</v>
      </c>
      <c r="CS266" s="59">
        <f t="shared" si="302"/>
        <v>0</v>
      </c>
      <c r="CT266" s="59">
        <f t="shared" si="312"/>
        <v>0</v>
      </c>
      <c r="CU266" s="59">
        <f t="shared" si="313"/>
        <v>0</v>
      </c>
      <c r="CV266" s="79">
        <f t="shared" si="314"/>
        <v>0</v>
      </c>
      <c r="CW266" s="82" t="str">
        <f t="shared" si="303"/>
        <v>-</v>
      </c>
      <c r="CX266" s="65" t="str">
        <f t="shared" si="304"/>
        <v>valid</v>
      </c>
      <c r="CY266" s="66" t="str">
        <f t="shared" si="318"/>
        <v>MGSp</v>
      </c>
      <c r="CZ266" s="81">
        <f t="shared" si="305"/>
        <v>61.234208000000002</v>
      </c>
      <c r="DA266" s="59">
        <f t="shared" si="306"/>
        <v>25.294830300000001</v>
      </c>
      <c r="DB266" s="59">
        <f t="shared" si="307"/>
        <v>0</v>
      </c>
      <c r="DC266" s="59">
        <f t="shared" si="308"/>
        <v>24.873249795</v>
      </c>
      <c r="DD266" s="59">
        <f t="shared" si="309"/>
        <v>0</v>
      </c>
      <c r="DE266" s="79">
        <f t="shared" si="310"/>
        <v>64.137103280000005</v>
      </c>
      <c r="DF266" s="83">
        <f t="shared" si="285"/>
        <v>86.529038299999996</v>
      </c>
    </row>
    <row r="267" spans="2:110" ht="16.5" customHeight="1" x14ac:dyDescent="0.25">
      <c r="B267" s="168"/>
      <c r="C267" s="47" t="s">
        <v>427</v>
      </c>
      <c r="D267" s="48" t="s">
        <v>357</v>
      </c>
      <c r="E267" s="49" t="s">
        <v>428</v>
      </c>
      <c r="F267" s="50">
        <f t="shared" si="315"/>
        <v>0.9180886985564638</v>
      </c>
      <c r="G267" s="50" t="str">
        <f t="shared" ca="1" si="316"/>
        <v>No</v>
      </c>
      <c r="H267" s="51" t="str">
        <f t="shared" si="317"/>
        <v>Main - Genoa - Screacher - Spinnaker</v>
      </c>
      <c r="I267" s="52">
        <v>40502</v>
      </c>
      <c r="J267" s="52">
        <v>40504</v>
      </c>
      <c r="K267" s="53" t="s">
        <v>201</v>
      </c>
      <c r="L267" s="53" t="s">
        <v>148</v>
      </c>
      <c r="M267" s="54"/>
      <c r="N267" s="55" t="s">
        <v>127</v>
      </c>
      <c r="O267" s="55" t="s">
        <v>138</v>
      </c>
      <c r="P267" s="56"/>
      <c r="Q267" s="57">
        <v>6.7</v>
      </c>
      <c r="R267" s="58"/>
      <c r="S267" s="59">
        <f t="shared" si="286"/>
        <v>0.16750000000000001</v>
      </c>
      <c r="T267" s="60">
        <v>0.62</v>
      </c>
      <c r="U267" s="60">
        <v>0</v>
      </c>
      <c r="V267" s="61">
        <f t="shared" si="287"/>
        <v>6.08</v>
      </c>
      <c r="W267" s="62">
        <f>IF(RL&gt;0,IF(RL&gt;'Look Ups'!R$7,'Look Ups'!R$8,('Look Ups'!R$3*RL^3+'Look Ups'!R$4*RL^2+'Look Ups'!R$5*RL+'Look Ups'!R$6)),0)</f>
        <v>0.28472397849600001</v>
      </c>
      <c r="X267" s="63">
        <v>493</v>
      </c>
      <c r="Y267" s="64"/>
      <c r="Z267" s="64"/>
      <c r="AA267" s="64"/>
      <c r="AB267" s="65">
        <f t="shared" si="288"/>
        <v>493</v>
      </c>
      <c r="AC267" s="66">
        <f t="shared" si="289"/>
        <v>493</v>
      </c>
      <c r="AD267" s="67" t="s">
        <v>129</v>
      </c>
      <c r="AE267" s="68" t="s">
        <v>130</v>
      </c>
      <c r="AF267" s="69" t="s">
        <v>131</v>
      </c>
      <c r="AG267" s="70">
        <f>IF(C267="",0,VLOOKUP(AD267,'Look Ups'!$B$3:$C$6,2,0)*VLOOKUP(AE267,'Look Ups'!$E$3:$F$5,2,0)*VLOOKUP(AF267,'Look Ups'!$H$3:$I$7,2,0))</f>
        <v>1</v>
      </c>
      <c r="AH267" s="71">
        <v>9.1300000000000008</v>
      </c>
      <c r="AI267" s="60">
        <v>8.9499999999999993</v>
      </c>
      <c r="AJ267" s="60">
        <v>2.81</v>
      </c>
      <c r="AK267" s="60">
        <v>1.1400000000000001</v>
      </c>
      <c r="AL267" s="60">
        <v>0.46</v>
      </c>
      <c r="AM267" s="60">
        <v>9.1300000000000008</v>
      </c>
      <c r="AN267" s="60">
        <v>0.11</v>
      </c>
      <c r="AO267" s="60">
        <v>2.84</v>
      </c>
      <c r="AP267" s="60">
        <v>0.04</v>
      </c>
      <c r="AQ267" s="60">
        <v>0.47</v>
      </c>
      <c r="AR267" s="60" t="s">
        <v>132</v>
      </c>
      <c r="AS267" s="75">
        <v>0</v>
      </c>
      <c r="AT267" s="59">
        <f t="shared" si="290"/>
        <v>9.17</v>
      </c>
      <c r="AU267" s="59">
        <f t="shared" si="291"/>
        <v>1.6091625000000001</v>
      </c>
      <c r="AV267" s="72">
        <f>IF(C267="",0,(0.5*(_ML1*LPM)+0.5*(_ML1*HB)+0.66*(P*PR)+0.66*(_ML2*RDM)+0.66*(E*ER))*VLOOKUP(BATT,'Look Ups'!$N$3:$O$4,2,0))</f>
        <v>21.486784000000004</v>
      </c>
      <c r="AW267" s="73"/>
      <c r="AX267" s="74"/>
      <c r="AY267" s="71">
        <v>8.39</v>
      </c>
      <c r="AZ267" s="60">
        <v>1.9649999999999999</v>
      </c>
      <c r="BA267" s="60">
        <v>2.13</v>
      </c>
      <c r="BB267" s="60">
        <v>0.03</v>
      </c>
      <c r="BC267" s="60">
        <v>7.68</v>
      </c>
      <c r="BD267" s="60"/>
      <c r="BE267" s="60"/>
      <c r="BF267" s="60">
        <v>0</v>
      </c>
      <c r="BG267" s="60">
        <v>0</v>
      </c>
      <c r="BH267" s="75">
        <v>0</v>
      </c>
      <c r="BI267" s="72">
        <f t="shared" si="292"/>
        <v>8.2853490000000001</v>
      </c>
      <c r="BJ267" s="76"/>
      <c r="BK267" s="77"/>
      <c r="BL267" s="78"/>
      <c r="BM267" s="78"/>
      <c r="BN267" s="77"/>
      <c r="BO267" s="78"/>
      <c r="BP267" s="78"/>
      <c r="BQ267" s="79">
        <f t="shared" si="293"/>
        <v>0</v>
      </c>
      <c r="BR267" s="80"/>
      <c r="BS267" s="77"/>
      <c r="BT267" s="77"/>
      <c r="BU267" s="77"/>
      <c r="BV267" s="77"/>
      <c r="BW267" s="77"/>
      <c r="BX267" s="77"/>
      <c r="BY267" s="72">
        <f t="shared" si="294"/>
        <v>0</v>
      </c>
      <c r="BZ267" s="73">
        <v>5.37</v>
      </c>
      <c r="CA267" s="60">
        <v>10.82</v>
      </c>
      <c r="CB267" s="60">
        <v>9.7200000000000006</v>
      </c>
      <c r="CC267" s="60">
        <v>4.47</v>
      </c>
      <c r="CD267" s="65">
        <f t="shared" si="295"/>
        <v>83.240223463687144</v>
      </c>
      <c r="CE267" s="60">
        <v>0</v>
      </c>
      <c r="CF267" s="79">
        <f t="shared" si="296"/>
        <v>39.796249999999993</v>
      </c>
      <c r="CG267" s="71">
        <v>4.1500000000000004</v>
      </c>
      <c r="CH267" s="60">
        <v>9.99</v>
      </c>
      <c r="CI267" s="60">
        <v>8.5299999999999994</v>
      </c>
      <c r="CJ267" s="60">
        <v>2.14</v>
      </c>
      <c r="CK267" s="59">
        <f t="shared" si="311"/>
        <v>51.566265060240966</v>
      </c>
      <c r="CL267" s="60">
        <v>0</v>
      </c>
      <c r="CM267" s="72">
        <f t="shared" si="297"/>
        <v>19.615766666666666</v>
      </c>
      <c r="CN267" s="81">
        <f t="shared" si="298"/>
        <v>1</v>
      </c>
      <c r="CO267" s="59">
        <f t="shared" si="299"/>
        <v>23.095946500000004</v>
      </c>
      <c r="CP267" s="59">
        <f t="shared" si="300"/>
        <v>1</v>
      </c>
      <c r="CQ267" s="59">
        <f t="shared" si="301"/>
        <v>8.2853490000000001</v>
      </c>
      <c r="CR267" s="59">
        <f>IF(AV267&gt;0,'Look Ups'!$L$3,0)</f>
        <v>1</v>
      </c>
      <c r="CS267" s="59">
        <f t="shared" si="302"/>
        <v>0</v>
      </c>
      <c r="CT267" s="59">
        <f t="shared" si="312"/>
        <v>0</v>
      </c>
      <c r="CU267" s="59">
        <f t="shared" si="313"/>
        <v>0</v>
      </c>
      <c r="CV267" s="79">
        <f t="shared" si="314"/>
        <v>0</v>
      </c>
      <c r="CW267" s="82" t="str">
        <f t="shared" si="303"/>
        <v>valid</v>
      </c>
      <c r="CX267" s="65" t="str">
        <f t="shared" si="304"/>
        <v>valid</v>
      </c>
      <c r="CY267" s="66" t="str">
        <f t="shared" si="318"/>
        <v>MGScrSp</v>
      </c>
      <c r="CZ267" s="81">
        <f t="shared" si="305"/>
        <v>31.381295500000004</v>
      </c>
      <c r="DA267" s="59">
        <f t="shared" si="306"/>
        <v>9.453270299999998</v>
      </c>
      <c r="DB267" s="59">
        <f t="shared" si="307"/>
        <v>3.9656461833333325</v>
      </c>
      <c r="DC267" s="59">
        <f t="shared" si="308"/>
        <v>9.2957157949999978</v>
      </c>
      <c r="DD267" s="59">
        <f t="shared" si="309"/>
        <v>0.62317297166666663</v>
      </c>
      <c r="DE267" s="79">
        <f t="shared" si="310"/>
        <v>32.980840030000003</v>
      </c>
      <c r="DF267" s="83">
        <f t="shared" si="285"/>
        <v>41.300184266666669</v>
      </c>
    </row>
    <row r="268" spans="2:110" ht="16.5" customHeight="1" x14ac:dyDescent="0.25">
      <c r="B268" s="47"/>
      <c r="C268" s="47" t="s">
        <v>429</v>
      </c>
      <c r="D268" s="48" t="s">
        <v>430</v>
      </c>
      <c r="E268" s="49" t="s">
        <v>431</v>
      </c>
      <c r="F268" s="50">
        <f t="shared" si="315"/>
        <v>0.84798360248229199</v>
      </c>
      <c r="G268" s="50" t="str">
        <f t="shared" ca="1" si="316"/>
        <v>No</v>
      </c>
      <c r="H268" s="51" t="str">
        <f t="shared" si="317"/>
        <v>Main - Genoa - Spinnaker</v>
      </c>
      <c r="I268" s="52">
        <v>41207</v>
      </c>
      <c r="J268" s="52">
        <v>41230</v>
      </c>
      <c r="K268" s="53" t="s">
        <v>270</v>
      </c>
      <c r="L268" s="53" t="s">
        <v>137</v>
      </c>
      <c r="M268" s="54"/>
      <c r="N268" s="55" t="s">
        <v>127</v>
      </c>
      <c r="O268" s="55" t="s">
        <v>128</v>
      </c>
      <c r="P268" s="56"/>
      <c r="Q268" s="57">
        <v>7.32</v>
      </c>
      <c r="R268" s="58"/>
      <c r="S268" s="59">
        <f t="shared" si="286"/>
        <v>0.18300000000000002</v>
      </c>
      <c r="T268" s="60">
        <v>0.06</v>
      </c>
      <c r="U268" s="60">
        <v>0</v>
      </c>
      <c r="V268" s="61">
        <f t="shared" si="287"/>
        <v>7.2600000000000007</v>
      </c>
      <c r="W268" s="62">
        <f>IF(RL&gt;0,IF(RL&gt;'Look Ups'!R$7,'Look Ups'!R$8,('Look Ups'!R$3*RL^3+'Look Ups'!R$4*RL^2+'Look Ups'!R$5*RL+'Look Ups'!R$6)),0)</f>
        <v>0.290907046808</v>
      </c>
      <c r="X268" s="63">
        <v>980</v>
      </c>
      <c r="Y268" s="64"/>
      <c r="Z268" s="64"/>
      <c r="AA268" s="64"/>
      <c r="AB268" s="65">
        <f t="shared" si="288"/>
        <v>980</v>
      </c>
      <c r="AC268" s="66">
        <f t="shared" si="289"/>
        <v>980</v>
      </c>
      <c r="AD268" s="67" t="s">
        <v>129</v>
      </c>
      <c r="AE268" s="68" t="s">
        <v>130</v>
      </c>
      <c r="AF268" s="69" t="s">
        <v>131</v>
      </c>
      <c r="AG268" s="70">
        <f>IF(C268="",0,VLOOKUP(AD268,'Look Ups'!$B$3:$C$6,2,0)*VLOOKUP(AE268,'Look Ups'!$E$3:$F$5,2,0)*VLOOKUP(AF268,'Look Ups'!$H$3:$I$7,2,0))</f>
        <v>1</v>
      </c>
      <c r="AH268" s="71">
        <v>10.050000000000001</v>
      </c>
      <c r="AI268" s="60">
        <v>9.8699999999999992</v>
      </c>
      <c r="AJ268" s="60">
        <v>3.08</v>
      </c>
      <c r="AK268" s="60">
        <v>1.17</v>
      </c>
      <c r="AL268" s="60">
        <v>0.30000000000000004</v>
      </c>
      <c r="AM268" s="60">
        <v>9.64</v>
      </c>
      <c r="AN268" s="60">
        <v>7.0000000000000007E-2</v>
      </c>
      <c r="AO268" s="60">
        <v>3.24</v>
      </c>
      <c r="AP268" s="60">
        <v>0.05</v>
      </c>
      <c r="AQ268" s="60">
        <v>0.49</v>
      </c>
      <c r="AR268" s="60" t="s">
        <v>132</v>
      </c>
      <c r="AS268" s="75">
        <v>0</v>
      </c>
      <c r="AT268" s="59">
        <f t="shared" si="290"/>
        <v>9.6900000000000013</v>
      </c>
      <c r="AU268" s="59">
        <f t="shared" si="291"/>
        <v>1.77135</v>
      </c>
      <c r="AV268" s="72">
        <f>IF(C268="",0,(0.5*(_ML1*LPM)+0.5*(_ML1*HB)+0.66*(P*PR)+0.66*(_ML2*RDM)+0.66*(E*ER))*VLOOKUP(BATT,'Look Ups'!$N$3:$O$4,2,0))</f>
        <v>23.862798000000002</v>
      </c>
      <c r="AW268" s="73"/>
      <c r="AX268" s="74"/>
      <c r="AY268" s="71">
        <v>8.92</v>
      </c>
      <c r="AZ268" s="60">
        <v>2.73</v>
      </c>
      <c r="BA268" s="60">
        <v>2.95</v>
      </c>
      <c r="BB268" s="60">
        <v>0.11</v>
      </c>
      <c r="BC268" s="60">
        <v>7.66</v>
      </c>
      <c r="BD268" s="60"/>
      <c r="BE268" s="60"/>
      <c r="BF268" s="60">
        <v>0.12</v>
      </c>
      <c r="BG268" s="60">
        <v>0</v>
      </c>
      <c r="BH268" s="75">
        <v>0</v>
      </c>
      <c r="BI268" s="72">
        <f t="shared" si="292"/>
        <v>12.996642</v>
      </c>
      <c r="BJ268" s="76"/>
      <c r="BK268" s="77"/>
      <c r="BL268" s="78"/>
      <c r="BM268" s="78"/>
      <c r="BN268" s="77"/>
      <c r="BO268" s="78"/>
      <c r="BP268" s="78"/>
      <c r="BQ268" s="79">
        <f t="shared" si="293"/>
        <v>0</v>
      </c>
      <c r="BR268" s="80"/>
      <c r="BS268" s="77"/>
      <c r="BT268" s="77"/>
      <c r="BU268" s="77"/>
      <c r="BV268" s="77"/>
      <c r="BW268" s="77"/>
      <c r="BX268" s="77"/>
      <c r="BY268" s="72">
        <f t="shared" si="294"/>
        <v>0</v>
      </c>
      <c r="BZ268" s="73">
        <v>6.92</v>
      </c>
      <c r="CA268" s="60">
        <v>10.78</v>
      </c>
      <c r="CB268" s="60">
        <v>9.94</v>
      </c>
      <c r="CC268" s="60">
        <v>5.92</v>
      </c>
      <c r="CD268" s="65">
        <f t="shared" si="295"/>
        <v>85.549132947976886</v>
      </c>
      <c r="CE268" s="60">
        <v>0</v>
      </c>
      <c r="CF268" s="79">
        <f t="shared" si="296"/>
        <v>52.835999999999999</v>
      </c>
      <c r="CG268" s="71"/>
      <c r="CH268" s="60"/>
      <c r="CI268" s="60"/>
      <c r="CJ268" s="60"/>
      <c r="CK268" s="59" t="str">
        <f t="shared" si="311"/>
        <v/>
      </c>
      <c r="CL268" s="60">
        <v>0</v>
      </c>
      <c r="CM268" s="72">
        <f t="shared" si="297"/>
        <v>0</v>
      </c>
      <c r="CN268" s="81">
        <f t="shared" si="298"/>
        <v>1</v>
      </c>
      <c r="CO268" s="59">
        <f t="shared" si="299"/>
        <v>25.634148000000003</v>
      </c>
      <c r="CP268" s="59">
        <f t="shared" si="300"/>
        <v>1</v>
      </c>
      <c r="CQ268" s="59">
        <f t="shared" si="301"/>
        <v>12.996642</v>
      </c>
      <c r="CR268" s="59">
        <f>IF(AV268&gt;0,'Look Ups'!$L$3,0)</f>
        <v>1</v>
      </c>
      <c r="CS268" s="59">
        <f t="shared" si="302"/>
        <v>0</v>
      </c>
      <c r="CT268" s="59">
        <f t="shared" si="312"/>
        <v>0</v>
      </c>
      <c r="CU268" s="59">
        <f t="shared" si="313"/>
        <v>0</v>
      </c>
      <c r="CV268" s="79">
        <f t="shared" si="314"/>
        <v>0</v>
      </c>
      <c r="CW268" s="82" t="str">
        <f t="shared" si="303"/>
        <v>-</v>
      </c>
      <c r="CX268" s="65" t="str">
        <f t="shared" si="304"/>
        <v>valid</v>
      </c>
      <c r="CY268" s="66" t="str">
        <f t="shared" si="318"/>
        <v>MGSp</v>
      </c>
      <c r="CZ268" s="81">
        <f t="shared" si="305"/>
        <v>38.630790000000005</v>
      </c>
      <c r="DA268" s="59">
        <f t="shared" si="306"/>
        <v>11.951807399999998</v>
      </c>
      <c r="DB268" s="59">
        <f t="shared" si="307"/>
        <v>0</v>
      </c>
      <c r="DC268" s="59">
        <f t="shared" si="308"/>
        <v>11.752610609999998</v>
      </c>
      <c r="DD268" s="59">
        <f t="shared" si="309"/>
        <v>0</v>
      </c>
      <c r="DE268" s="79">
        <f t="shared" si="310"/>
        <v>39.995640648000006</v>
      </c>
      <c r="DF268" s="83">
        <f t="shared" si="285"/>
        <v>50.582597400000004</v>
      </c>
    </row>
    <row r="269" spans="2:110" ht="16.5" customHeight="1" x14ac:dyDescent="0.25">
      <c r="B269" s="47"/>
      <c r="C269" s="168" t="s">
        <v>758</v>
      </c>
      <c r="D269" s="169"/>
      <c r="E269" s="170" t="s">
        <v>759</v>
      </c>
      <c r="F269" s="50">
        <f t="shared" si="315"/>
        <v>0.81635682252442221</v>
      </c>
      <c r="G269" s="50" t="str">
        <f t="shared" ca="1" si="316"/>
        <v>No</v>
      </c>
      <c r="H269" s="51" t="str">
        <f t="shared" si="317"/>
        <v>Main - Genoa - Spinnaker</v>
      </c>
      <c r="I269" s="171">
        <v>37333</v>
      </c>
      <c r="J269" s="171">
        <v>39525</v>
      </c>
      <c r="K269" s="172" t="s">
        <v>760</v>
      </c>
      <c r="L269" s="172" t="s">
        <v>187</v>
      </c>
      <c r="M269" s="171"/>
      <c r="N269" s="173" t="s">
        <v>149</v>
      </c>
      <c r="O269" s="173"/>
      <c r="P269" s="186"/>
      <c r="Q269" s="175">
        <v>12.97</v>
      </c>
      <c r="R269" s="78"/>
      <c r="S269" s="59">
        <f t="shared" si="286"/>
        <v>0.32425000000000004</v>
      </c>
      <c r="T269" s="176">
        <v>0.68</v>
      </c>
      <c r="U269" s="176">
        <v>0</v>
      </c>
      <c r="V269" s="61">
        <f t="shared" si="287"/>
        <v>12.290000000000001</v>
      </c>
      <c r="W269" s="62">
        <f>IF(RL&gt;0,IF(RL&gt;'Look Ups'!R$7,'Look Ups'!R$8,('Look Ups'!R$3*RL^3+'Look Ups'!R$4*RL^2+'Look Ups'!R$5*RL+'Look Ups'!R$6)),0)</f>
        <v>0.3</v>
      </c>
      <c r="X269" s="177">
        <v>6188</v>
      </c>
      <c r="Y269" s="178"/>
      <c r="Z269" s="178"/>
      <c r="AA269" s="178"/>
      <c r="AB269" s="65">
        <f t="shared" si="288"/>
        <v>6188</v>
      </c>
      <c r="AC269" s="66">
        <f t="shared" si="289"/>
        <v>6188</v>
      </c>
      <c r="AD269" s="179" t="s">
        <v>129</v>
      </c>
      <c r="AE269" s="180" t="s">
        <v>130</v>
      </c>
      <c r="AF269" s="181" t="s">
        <v>161</v>
      </c>
      <c r="AG269" s="70">
        <f>IF(C269="",0,VLOOKUP(AD269,'Look Ups'!$B$3:$C$6,2,0)*VLOOKUP(AE269,'Look Ups'!$E$3:$F$5,2,0)*VLOOKUP(AF269,'Look Ups'!$H$3:$I$7,2,0))</f>
        <v>0.99</v>
      </c>
      <c r="AH269" s="80">
        <v>16.100000000000001</v>
      </c>
      <c r="AI269" s="77">
        <v>16.079999999999998</v>
      </c>
      <c r="AJ269" s="77">
        <v>5.13</v>
      </c>
      <c r="AK269" s="77">
        <v>1.05</v>
      </c>
      <c r="AL269" s="77">
        <v>1.5</v>
      </c>
      <c r="AM269" s="77">
        <v>15.45</v>
      </c>
      <c r="AN269" s="77">
        <v>0.13</v>
      </c>
      <c r="AO269" s="77">
        <v>5.5</v>
      </c>
      <c r="AP269" s="77">
        <v>0.05</v>
      </c>
      <c r="AQ269" s="77">
        <v>0.7</v>
      </c>
      <c r="AR269" s="77" t="s">
        <v>132</v>
      </c>
      <c r="AS269" s="87"/>
      <c r="AT269" s="59">
        <f t="shared" si="290"/>
        <v>15.5</v>
      </c>
      <c r="AU269" s="59">
        <f t="shared" si="291"/>
        <v>4.0556249999999991</v>
      </c>
      <c r="AV269" s="72">
        <f>IF(C269="",0,(0.5*(_ML1*LPM)+0.5*(_ML1*HB)+0.66*(P*PR)+0.66*(_ML2*RDM)+0.66*(E*ER))*VLOOKUP(BATT,'Look Ups'!$N$3:$O$4,2,0))</f>
        <v>67.175309999999996</v>
      </c>
      <c r="AW269" s="182"/>
      <c r="AX269" s="183"/>
      <c r="AY269" s="80">
        <v>14.7</v>
      </c>
      <c r="AZ269" s="77">
        <v>4.9800000000000004</v>
      </c>
      <c r="BA269" s="77">
        <v>5.4</v>
      </c>
      <c r="BB269" s="77">
        <v>0.08</v>
      </c>
      <c r="BC269" s="77">
        <v>13.5</v>
      </c>
      <c r="BD269" s="77"/>
      <c r="BE269" s="77"/>
      <c r="BF269" s="77">
        <v>-0.42</v>
      </c>
      <c r="BG269" s="77">
        <v>-0.22</v>
      </c>
      <c r="BH269" s="87" t="s">
        <v>165</v>
      </c>
      <c r="BI269" s="72">
        <f t="shared" si="292"/>
        <v>31.011480000000002</v>
      </c>
      <c r="BJ269" s="76"/>
      <c r="BK269" s="77"/>
      <c r="BL269" s="78"/>
      <c r="BM269" s="78"/>
      <c r="BN269" s="77"/>
      <c r="BO269" s="78"/>
      <c r="BP269" s="78"/>
      <c r="BQ269" s="79">
        <f t="shared" si="293"/>
        <v>0</v>
      </c>
      <c r="BR269" s="80"/>
      <c r="BS269" s="77"/>
      <c r="BT269" s="77"/>
      <c r="BU269" s="77"/>
      <c r="BV269" s="77"/>
      <c r="BW269" s="77"/>
      <c r="BX269" s="77"/>
      <c r="BY269" s="72">
        <f t="shared" si="294"/>
        <v>0</v>
      </c>
      <c r="BZ269" s="182">
        <v>11.94</v>
      </c>
      <c r="CA269" s="77">
        <v>16.7</v>
      </c>
      <c r="CB269" s="77">
        <v>15.63</v>
      </c>
      <c r="CC269" s="77">
        <v>10.27</v>
      </c>
      <c r="CD269" s="65">
        <f t="shared" si="295"/>
        <v>86.01340033500837</v>
      </c>
      <c r="CE269" s="77"/>
      <c r="CF269" s="79">
        <f t="shared" si="296"/>
        <v>142.84471666666667</v>
      </c>
      <c r="CG269" s="80"/>
      <c r="CH269" s="77"/>
      <c r="CI269" s="77"/>
      <c r="CJ269" s="77"/>
      <c r="CK269" s="59" t="str">
        <f t="shared" si="311"/>
        <v/>
      </c>
      <c r="CL269" s="77"/>
      <c r="CM269" s="72">
        <f t="shared" si="297"/>
        <v>0</v>
      </c>
      <c r="CN269" s="81">
        <f t="shared" si="298"/>
        <v>1</v>
      </c>
      <c r="CO269" s="59">
        <f t="shared" si="299"/>
        <v>71.230934999999988</v>
      </c>
      <c r="CP269" s="59">
        <f t="shared" si="300"/>
        <v>1</v>
      </c>
      <c r="CQ269" s="59">
        <f t="shared" si="301"/>
        <v>31.011480000000002</v>
      </c>
      <c r="CR269" s="59">
        <f>IF(AV269&gt;0,'Look Ups'!$L$3,0)</f>
        <v>1</v>
      </c>
      <c r="CS269" s="59">
        <f t="shared" si="302"/>
        <v>0</v>
      </c>
      <c r="CT269" s="59">
        <f t="shared" si="312"/>
        <v>0</v>
      </c>
      <c r="CU269" s="59">
        <f t="shared" si="313"/>
        <v>0</v>
      </c>
      <c r="CV269" s="79">
        <f t="shared" si="314"/>
        <v>0</v>
      </c>
      <c r="CW269" s="82" t="str">
        <f t="shared" si="303"/>
        <v>-</v>
      </c>
      <c r="CX269" s="65" t="str">
        <f t="shared" si="304"/>
        <v>valid</v>
      </c>
      <c r="CY269" s="66" t="str">
        <f t="shared" si="318"/>
        <v>MGSp</v>
      </c>
      <c r="CZ269" s="81">
        <f t="shared" si="305"/>
        <v>102.24241499999999</v>
      </c>
      <c r="DA269" s="59">
        <f t="shared" si="306"/>
        <v>33.549970999999999</v>
      </c>
      <c r="DB269" s="59">
        <f t="shared" si="307"/>
        <v>0</v>
      </c>
      <c r="DC269" s="59">
        <f t="shared" si="308"/>
        <v>32.990804816666667</v>
      </c>
      <c r="DD269" s="59">
        <f t="shared" si="309"/>
        <v>0</v>
      </c>
      <c r="DE269" s="79">
        <f t="shared" si="310"/>
        <v>106.58611613999999</v>
      </c>
      <c r="DF269" s="83">
        <f t="shared" si="285"/>
        <v>135.79238599999999</v>
      </c>
    </row>
    <row r="270" spans="2:110" ht="16.5" customHeight="1" x14ac:dyDescent="0.25">
      <c r="B270" s="168"/>
      <c r="C270" s="47" t="s">
        <v>432</v>
      </c>
      <c r="D270" s="48" t="s">
        <v>433</v>
      </c>
      <c r="E270" s="49" t="s">
        <v>434</v>
      </c>
      <c r="F270" s="50">
        <f t="shared" si="315"/>
        <v>1.008826991113501</v>
      </c>
      <c r="G270" s="50" t="str">
        <f t="shared" ca="1" si="316"/>
        <v>Yes</v>
      </c>
      <c r="H270" s="51" t="str">
        <f t="shared" si="317"/>
        <v>Main - Genoa - Screacher</v>
      </c>
      <c r="I270" s="52">
        <v>41343</v>
      </c>
      <c r="J270" s="52">
        <v>41494</v>
      </c>
      <c r="K270" s="53" t="s">
        <v>233</v>
      </c>
      <c r="L270" s="53" t="s">
        <v>137</v>
      </c>
      <c r="M270" s="54"/>
      <c r="N270" s="55" t="s">
        <v>149</v>
      </c>
      <c r="O270" s="55"/>
      <c r="P270" s="56">
        <v>11</v>
      </c>
      <c r="Q270" s="57"/>
      <c r="R270" s="58">
        <v>12.84</v>
      </c>
      <c r="S270" s="59">
        <f t="shared" si="286"/>
        <v>0.32100000000000001</v>
      </c>
      <c r="T270" s="60"/>
      <c r="U270" s="60">
        <v>0</v>
      </c>
      <c r="V270" s="61">
        <f t="shared" si="287"/>
        <v>12.84</v>
      </c>
      <c r="W270" s="62">
        <f>IF(RL&gt;0,IF(RL&gt;'Look Ups'!R$7,'Look Ups'!R$8,('Look Ups'!R$3*RL^3+'Look Ups'!R$4*RL^2+'Look Ups'!R$5*RL+'Look Ups'!R$6)),0)</f>
        <v>0.3</v>
      </c>
      <c r="X270" s="63">
        <v>3606</v>
      </c>
      <c r="Y270" s="64"/>
      <c r="Z270" s="64"/>
      <c r="AA270" s="64"/>
      <c r="AB270" s="65">
        <f t="shared" si="288"/>
        <v>3606</v>
      </c>
      <c r="AC270" s="66">
        <f t="shared" si="289"/>
        <v>3606</v>
      </c>
      <c r="AD270" s="67" t="s">
        <v>129</v>
      </c>
      <c r="AE270" s="68" t="s">
        <v>130</v>
      </c>
      <c r="AF270" s="69" t="s">
        <v>300</v>
      </c>
      <c r="AG270" s="70">
        <f>IF(C270="",0,VLOOKUP(AD270,'Look Ups'!$B$3:$C$6,2,0)*VLOOKUP(AE270,'Look Ups'!$E$3:$F$5,2,0)*VLOOKUP(AF270,'Look Ups'!$H$3:$I$7,2,0))</f>
        <v>0.995</v>
      </c>
      <c r="AH270" s="71">
        <v>17.82</v>
      </c>
      <c r="AI270" s="60">
        <v>17.614999999999998</v>
      </c>
      <c r="AJ270" s="60">
        <v>4.55</v>
      </c>
      <c r="AK270" s="60">
        <v>0.745</v>
      </c>
      <c r="AL270" s="60">
        <v>1.482</v>
      </c>
      <c r="AM270" s="60">
        <v>17.574999999999999</v>
      </c>
      <c r="AN270" s="60">
        <v>0.15</v>
      </c>
      <c r="AO270" s="60">
        <v>4.6139999999999999</v>
      </c>
      <c r="AP270" s="60"/>
      <c r="AQ270" s="60">
        <v>0.98</v>
      </c>
      <c r="AR270" s="60" t="s">
        <v>132</v>
      </c>
      <c r="AS270" s="75">
        <v>0</v>
      </c>
      <c r="AT270" s="59">
        <f t="shared" si="290"/>
        <v>17.574999999999999</v>
      </c>
      <c r="AU270" s="59">
        <f t="shared" si="291"/>
        <v>6.4588124999999996</v>
      </c>
      <c r="AV270" s="72">
        <f>IF(C270="",0,(0.5*(_ML1*LPM)+0.5*(_ML1*HB)+0.66*(P*PR)+0.66*(_ML2*RDM)+0.66*(E*ER))*VLOOKUP(BATT,'Look Ups'!$N$3:$O$4,2,0))</f>
        <v>66.147958799999998</v>
      </c>
      <c r="AW270" s="73"/>
      <c r="AX270" s="74"/>
      <c r="AY270" s="71">
        <v>17.05</v>
      </c>
      <c r="AZ270" s="60">
        <v>4.5</v>
      </c>
      <c r="BA270" s="60">
        <v>4.6100000000000003</v>
      </c>
      <c r="BB270" s="60">
        <v>0.14000000000000001</v>
      </c>
      <c r="BC270" s="60">
        <v>15.768000000000001</v>
      </c>
      <c r="BD270" s="60"/>
      <c r="BE270" s="60"/>
      <c r="BF270" s="60">
        <v>6.5000000000000002E-2</v>
      </c>
      <c r="BG270" s="60">
        <v>-0.27</v>
      </c>
      <c r="BH270" s="75">
        <v>0</v>
      </c>
      <c r="BI270" s="72">
        <f t="shared" si="292"/>
        <v>36.4266012</v>
      </c>
      <c r="BJ270" s="76"/>
      <c r="BK270" s="77"/>
      <c r="BL270" s="78"/>
      <c r="BM270" s="78"/>
      <c r="BN270" s="77"/>
      <c r="BO270" s="78"/>
      <c r="BP270" s="78"/>
      <c r="BQ270" s="79">
        <f t="shared" si="293"/>
        <v>0</v>
      </c>
      <c r="BR270" s="80"/>
      <c r="BS270" s="77"/>
      <c r="BT270" s="77"/>
      <c r="BU270" s="77"/>
      <c r="BV270" s="77"/>
      <c r="BW270" s="77"/>
      <c r="BX270" s="77"/>
      <c r="BY270" s="72">
        <f t="shared" si="294"/>
        <v>0</v>
      </c>
      <c r="BZ270" s="73"/>
      <c r="CA270" s="60"/>
      <c r="CB270" s="60"/>
      <c r="CC270" s="60"/>
      <c r="CD270" s="65" t="str">
        <f t="shared" si="295"/>
        <v/>
      </c>
      <c r="CE270" s="60">
        <v>0</v>
      </c>
      <c r="CF270" s="79">
        <f t="shared" si="296"/>
        <v>0</v>
      </c>
      <c r="CG270" s="71">
        <v>10.85</v>
      </c>
      <c r="CH270" s="60">
        <v>18.91</v>
      </c>
      <c r="CI270" s="60">
        <v>18.21</v>
      </c>
      <c r="CJ270" s="60">
        <v>7.8550000000000004</v>
      </c>
      <c r="CK270" s="59">
        <f t="shared" si="311"/>
        <v>72.396313364055302</v>
      </c>
      <c r="CL270" s="60">
        <v>0</v>
      </c>
      <c r="CM270" s="72">
        <f t="shared" si="297"/>
        <v>130.7552</v>
      </c>
      <c r="CN270" s="81">
        <f t="shared" si="298"/>
        <v>1</v>
      </c>
      <c r="CO270" s="59">
        <f t="shared" si="299"/>
        <v>72.606771299999991</v>
      </c>
      <c r="CP270" s="59">
        <f t="shared" si="300"/>
        <v>1</v>
      </c>
      <c r="CQ270" s="59">
        <f t="shared" si="301"/>
        <v>36.4266012</v>
      </c>
      <c r="CR270" s="59">
        <f>IF(AV270&gt;0,'Look Ups'!$L$3,0)</f>
        <v>1</v>
      </c>
      <c r="CS270" s="59">
        <f t="shared" si="302"/>
        <v>0</v>
      </c>
      <c r="CT270" s="59">
        <f t="shared" si="312"/>
        <v>0</v>
      </c>
      <c r="CU270" s="59">
        <f t="shared" si="313"/>
        <v>0</v>
      </c>
      <c r="CV270" s="79">
        <f t="shared" si="314"/>
        <v>0</v>
      </c>
      <c r="CW270" s="82" t="str">
        <f t="shared" si="303"/>
        <v>valid</v>
      </c>
      <c r="CX270" s="65" t="str">
        <f t="shared" si="304"/>
        <v>-</v>
      </c>
      <c r="CY270" s="66" t="str">
        <f t="shared" si="318"/>
        <v>MGScr</v>
      </c>
      <c r="CZ270" s="81">
        <f t="shared" si="305"/>
        <v>109.03337249999998</v>
      </c>
      <c r="DA270" s="59">
        <f t="shared" si="306"/>
        <v>0</v>
      </c>
      <c r="DB270" s="59">
        <f t="shared" si="307"/>
        <v>33.015009580000005</v>
      </c>
      <c r="DC270" s="59">
        <f t="shared" si="308"/>
        <v>0</v>
      </c>
      <c r="DD270" s="59">
        <f t="shared" si="309"/>
        <v>5.1880729340000009</v>
      </c>
      <c r="DE270" s="79">
        <f t="shared" si="310"/>
        <v>112.94083087079999</v>
      </c>
      <c r="DF270" s="83">
        <f t="shared" si="285"/>
        <v>142.04838207999998</v>
      </c>
    </row>
    <row r="271" spans="2:110" ht="16.5" customHeight="1" x14ac:dyDescent="0.25">
      <c r="B271" s="47"/>
      <c r="C271" s="168" t="s">
        <v>761</v>
      </c>
      <c r="D271" s="184" t="s">
        <v>762</v>
      </c>
      <c r="E271" s="170" t="s">
        <v>382</v>
      </c>
      <c r="F271" s="50">
        <f t="shared" si="315"/>
        <v>0.99466355611248403</v>
      </c>
      <c r="G271" s="50" t="str">
        <f t="shared" ca="1" si="316"/>
        <v>No</v>
      </c>
      <c r="H271" s="51" t="str">
        <f t="shared" si="317"/>
        <v>Main - Genoa - Spinnaker</v>
      </c>
      <c r="I271" s="171">
        <v>38951</v>
      </c>
      <c r="J271" s="171"/>
      <c r="K271" s="172" t="s">
        <v>372</v>
      </c>
      <c r="L271" s="172" t="s">
        <v>212</v>
      </c>
      <c r="M271" s="171"/>
      <c r="N271" s="87" t="s">
        <v>657</v>
      </c>
      <c r="O271" s="87"/>
      <c r="P271" s="185"/>
      <c r="Q271" s="175">
        <v>10.08</v>
      </c>
      <c r="R271" s="78"/>
      <c r="S271" s="59">
        <f t="shared" si="286"/>
        <v>0.252</v>
      </c>
      <c r="T271" s="176">
        <v>0.24</v>
      </c>
      <c r="U271" s="176">
        <v>0</v>
      </c>
      <c r="V271" s="61">
        <f t="shared" si="287"/>
        <v>9.84</v>
      </c>
      <c r="W271" s="62">
        <f>IF(RL&gt;0,IF(RL&gt;'Look Ups'!R$7,'Look Ups'!R$8,('Look Ups'!R$3*RL^3+'Look Ups'!R$4*RL^2+'Look Ups'!R$5*RL+'Look Ups'!R$6)),0)</f>
        <v>0.29826536883200006</v>
      </c>
      <c r="X271" s="177">
        <v>1395</v>
      </c>
      <c r="Y271" s="178"/>
      <c r="Z271" s="178"/>
      <c r="AA271" s="178"/>
      <c r="AB271" s="65">
        <f t="shared" si="288"/>
        <v>1395</v>
      </c>
      <c r="AC271" s="66">
        <f t="shared" si="289"/>
        <v>1395</v>
      </c>
      <c r="AD271" s="179" t="s">
        <v>129</v>
      </c>
      <c r="AE271" s="180" t="s">
        <v>130</v>
      </c>
      <c r="AF271" s="181" t="s">
        <v>131</v>
      </c>
      <c r="AG271" s="70">
        <f>IF(C271="",0,VLOOKUP(AD271,'Look Ups'!$B$3:$C$6,2,0)*VLOOKUP(AE271,'Look Ups'!$E$3:$F$5,2,0)*VLOOKUP(AF271,'Look Ups'!$H$3:$I$7,2,0))</f>
        <v>1</v>
      </c>
      <c r="AH271" s="80">
        <v>13.06</v>
      </c>
      <c r="AI271" s="77">
        <v>12.8</v>
      </c>
      <c r="AJ271" s="77">
        <v>3.54</v>
      </c>
      <c r="AK271" s="77">
        <v>1.02</v>
      </c>
      <c r="AL271" s="77">
        <v>0.86</v>
      </c>
      <c r="AM271" s="77">
        <v>13.7</v>
      </c>
      <c r="AN271" s="77">
        <v>0.13</v>
      </c>
      <c r="AO271" s="77">
        <v>3.56</v>
      </c>
      <c r="AP271" s="77">
        <v>0</v>
      </c>
      <c r="AQ271" s="77">
        <v>0.81</v>
      </c>
      <c r="AR271" s="77" t="s">
        <v>132</v>
      </c>
      <c r="AS271" s="87">
        <v>0</v>
      </c>
      <c r="AT271" s="59">
        <f t="shared" si="290"/>
        <v>13.7</v>
      </c>
      <c r="AU271" s="59">
        <f t="shared" si="291"/>
        <v>4.1613749999999996</v>
      </c>
      <c r="AV271" s="72">
        <f>IF(C271="",0,(0.5*(_ML1*LPM)+0.5*(_ML1*HB)+0.66*(P*PR)+0.66*(_ML2*RDM)+0.66*(E*ER))*VLOOKUP(BATT,'Look Ups'!$N$3:$O$4,2,0))</f>
        <v>38.21754</v>
      </c>
      <c r="AW271" s="182"/>
      <c r="AX271" s="183"/>
      <c r="AY271" s="80">
        <v>9.36</v>
      </c>
      <c r="AZ271" s="77">
        <v>2.7</v>
      </c>
      <c r="BA271" s="77">
        <v>2.85</v>
      </c>
      <c r="BB271" s="77">
        <v>0.09</v>
      </c>
      <c r="BC271" s="77">
        <v>8.93</v>
      </c>
      <c r="BD271" s="77"/>
      <c r="BE271" s="77"/>
      <c r="BF271" s="77">
        <v>0.27</v>
      </c>
      <c r="BG271" s="77">
        <v>0</v>
      </c>
      <c r="BH271" s="87">
        <v>0</v>
      </c>
      <c r="BI271" s="72">
        <f t="shared" si="292"/>
        <v>14.396616</v>
      </c>
      <c r="BJ271" s="76"/>
      <c r="BK271" s="77"/>
      <c r="BL271" s="78"/>
      <c r="BM271" s="78"/>
      <c r="BN271" s="77"/>
      <c r="BO271" s="78"/>
      <c r="BP271" s="78"/>
      <c r="BQ271" s="79">
        <f t="shared" si="293"/>
        <v>0</v>
      </c>
      <c r="BR271" s="80"/>
      <c r="BS271" s="77"/>
      <c r="BT271" s="77"/>
      <c r="BU271" s="77"/>
      <c r="BV271" s="77"/>
      <c r="BW271" s="77"/>
      <c r="BX271" s="77"/>
      <c r="BY271" s="72">
        <f t="shared" si="294"/>
        <v>0</v>
      </c>
      <c r="BZ271" s="182">
        <v>7.77</v>
      </c>
      <c r="CA271" s="77">
        <v>14.09</v>
      </c>
      <c r="CB271" s="77">
        <v>15.37</v>
      </c>
      <c r="CC271" s="77">
        <v>6.45</v>
      </c>
      <c r="CD271" s="65">
        <f t="shared" si="295"/>
        <v>83.011583011583028</v>
      </c>
      <c r="CE271" s="87">
        <v>0</v>
      </c>
      <c r="CF271" s="79">
        <f t="shared" si="296"/>
        <v>82.414349999999999</v>
      </c>
      <c r="CG271" s="80"/>
      <c r="CH271" s="77"/>
      <c r="CI271" s="77"/>
      <c r="CJ271" s="77"/>
      <c r="CK271" s="59" t="str">
        <f t="shared" si="311"/>
        <v/>
      </c>
      <c r="CL271" s="87">
        <v>0</v>
      </c>
      <c r="CM271" s="72">
        <f t="shared" si="297"/>
        <v>0</v>
      </c>
      <c r="CN271" s="81">
        <f t="shared" si="298"/>
        <v>1</v>
      </c>
      <c r="CO271" s="59">
        <f t="shared" si="299"/>
        <v>42.378914999999999</v>
      </c>
      <c r="CP271" s="59">
        <f t="shared" si="300"/>
        <v>1</v>
      </c>
      <c r="CQ271" s="59">
        <f t="shared" si="301"/>
        <v>14.396616</v>
      </c>
      <c r="CR271" s="59">
        <f>IF(AV271&gt;0,'Look Ups'!$L$3,0)</f>
        <v>1</v>
      </c>
      <c r="CS271" s="59">
        <f t="shared" si="302"/>
        <v>0</v>
      </c>
      <c r="CT271" s="59">
        <f t="shared" si="312"/>
        <v>0</v>
      </c>
      <c r="CU271" s="59">
        <f t="shared" si="313"/>
        <v>0</v>
      </c>
      <c r="CV271" s="79">
        <f t="shared" si="314"/>
        <v>0</v>
      </c>
      <c r="CW271" s="82" t="str">
        <f t="shared" si="303"/>
        <v>-</v>
      </c>
      <c r="CX271" s="65" t="str">
        <f t="shared" si="304"/>
        <v>valid</v>
      </c>
      <c r="CY271" s="66" t="str">
        <f t="shared" si="318"/>
        <v>MGSp</v>
      </c>
      <c r="CZ271" s="81">
        <f t="shared" si="305"/>
        <v>56.775531000000001</v>
      </c>
      <c r="DA271" s="59">
        <f t="shared" si="306"/>
        <v>20.405320200000002</v>
      </c>
      <c r="DB271" s="59">
        <f t="shared" si="307"/>
        <v>0</v>
      </c>
      <c r="DC271" s="59">
        <f t="shared" si="308"/>
        <v>20.065231530000002</v>
      </c>
      <c r="DD271" s="59">
        <f t="shared" si="309"/>
        <v>0</v>
      </c>
      <c r="DE271" s="79">
        <f t="shared" si="310"/>
        <v>59.797619292</v>
      </c>
      <c r="DF271" s="83">
        <f t="shared" si="285"/>
        <v>77.180851200000006</v>
      </c>
    </row>
    <row r="272" spans="2:110" ht="16.5" customHeight="1" x14ac:dyDescent="0.25">
      <c r="B272" s="168"/>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row>
    <row r="273" spans="2:255" ht="16.5" customHeight="1" x14ac:dyDescent="0.25">
      <c r="B273" s="47"/>
      <c r="C273" s="47" t="s">
        <v>441</v>
      </c>
      <c r="D273" s="48" t="s">
        <v>442</v>
      </c>
      <c r="E273" s="49" t="s">
        <v>443</v>
      </c>
      <c r="F273" s="50">
        <f t="shared" si="315"/>
        <v>0.73572405021817089</v>
      </c>
      <c r="G273" s="50" t="str">
        <f t="shared" ca="1" si="316"/>
        <v>No</v>
      </c>
      <c r="H273" s="51" t="str">
        <f t="shared" si="317"/>
        <v>Main - Genoa - Screacher</v>
      </c>
      <c r="I273" s="52">
        <v>37506</v>
      </c>
      <c r="J273" s="52"/>
      <c r="K273" s="53" t="s">
        <v>399</v>
      </c>
      <c r="L273" s="53" t="s">
        <v>390</v>
      </c>
      <c r="M273" s="54"/>
      <c r="N273" s="55" t="s">
        <v>149</v>
      </c>
      <c r="O273" s="55"/>
      <c r="P273" s="86">
        <v>5.7</v>
      </c>
      <c r="Q273" s="57">
        <v>9.34</v>
      </c>
      <c r="R273" s="58"/>
      <c r="S273" s="59">
        <f t="shared" si="286"/>
        <v>0.23350000000000001</v>
      </c>
      <c r="T273" s="60">
        <v>0.2</v>
      </c>
      <c r="U273" s="60">
        <v>0</v>
      </c>
      <c r="V273" s="61">
        <f t="shared" si="287"/>
        <v>9.14</v>
      </c>
      <c r="W273" s="62">
        <f>IF(RL&gt;0,IF(RL&gt;'Look Ups'!R$7,'Look Ups'!R$8,('Look Ups'!R$3*RL^3+'Look Ups'!R$4*RL^2+'Look Ups'!R$5*RL+'Look Ups'!R$6)),0)</f>
        <v>0.29697177415200005</v>
      </c>
      <c r="X273" s="63">
        <v>2962</v>
      </c>
      <c r="Y273" s="355"/>
      <c r="Z273" s="64"/>
      <c r="AA273" s="64"/>
      <c r="AB273" s="65">
        <f t="shared" si="288"/>
        <v>2962</v>
      </c>
      <c r="AC273" s="66">
        <f t="shared" si="289"/>
        <v>2962</v>
      </c>
      <c r="AD273" s="67" t="s">
        <v>129</v>
      </c>
      <c r="AE273" s="68" t="s">
        <v>130</v>
      </c>
      <c r="AF273" s="69" t="s">
        <v>131</v>
      </c>
      <c r="AG273" s="70">
        <f>IF(C273="",0,VLOOKUP(AD273,'Look Ups'!$B$3:$C$6,2,0)*VLOOKUP(AE273,'Look Ups'!$E$3:$F$5,2,0)*VLOOKUP(AF273,'Look Ups'!$H$3:$I$7,2,0))</f>
        <v>1</v>
      </c>
      <c r="AH273" s="71">
        <v>12.05</v>
      </c>
      <c r="AI273" s="60">
        <v>12</v>
      </c>
      <c r="AJ273" s="60">
        <v>3.62</v>
      </c>
      <c r="AK273" s="60">
        <v>0.12</v>
      </c>
      <c r="AL273" s="60">
        <v>1.17</v>
      </c>
      <c r="AM273" s="60">
        <v>11.69</v>
      </c>
      <c r="AN273" s="60">
        <v>0.17500000000000002</v>
      </c>
      <c r="AO273" s="60">
        <v>3.82</v>
      </c>
      <c r="AP273" s="60">
        <v>0.08</v>
      </c>
      <c r="AQ273" s="60"/>
      <c r="AR273" s="60" t="s">
        <v>132</v>
      </c>
      <c r="AS273" s="75">
        <v>0</v>
      </c>
      <c r="AT273" s="59">
        <f t="shared" si="290"/>
        <v>11.77</v>
      </c>
      <c r="AU273" s="59">
        <f t="shared" si="291"/>
        <v>0</v>
      </c>
      <c r="AV273" s="72">
        <f>IF(C273="",0,(0.5*(_ML1*LPM)+0.5*(_ML1*HB)+0.66*(P*PR)+0.66*(_ML2*RDM)+0.66*(E*ER))*VLOOKUP(BATT,'Look Ups'!$N$3:$O$4,2,0))</f>
        <v>33.351790999999999</v>
      </c>
      <c r="AW273" s="73"/>
      <c r="AX273" s="74"/>
      <c r="AY273" s="71">
        <v>11.62</v>
      </c>
      <c r="AZ273" s="60">
        <v>4.7699999999999996</v>
      </c>
      <c r="BA273" s="60">
        <v>5.49</v>
      </c>
      <c r="BB273" s="60">
        <v>0.26</v>
      </c>
      <c r="BC273" s="60">
        <v>10.18</v>
      </c>
      <c r="BD273" s="60"/>
      <c r="BE273" s="60"/>
      <c r="BF273" s="60">
        <v>-0.09</v>
      </c>
      <c r="BG273" s="60">
        <v>-0.12</v>
      </c>
      <c r="BH273" s="75"/>
      <c r="BI273" s="72">
        <f t="shared" si="292"/>
        <v>27.130787999999995</v>
      </c>
      <c r="BJ273" s="76"/>
      <c r="BK273" s="77"/>
      <c r="BL273" s="78"/>
      <c r="BM273" s="78"/>
      <c r="BN273" s="77"/>
      <c r="BO273" s="78"/>
      <c r="BP273" s="78"/>
      <c r="BQ273" s="79">
        <f t="shared" si="293"/>
        <v>0</v>
      </c>
      <c r="BR273" s="80"/>
      <c r="BS273" s="77"/>
      <c r="BT273" s="77"/>
      <c r="BU273" s="77"/>
      <c r="BV273" s="77"/>
      <c r="BW273" s="77"/>
      <c r="BX273" s="77"/>
      <c r="BY273" s="72">
        <f t="shared" si="294"/>
        <v>0</v>
      </c>
      <c r="BZ273" s="73"/>
      <c r="CA273" s="60"/>
      <c r="CB273" s="60"/>
      <c r="CC273" s="60"/>
      <c r="CD273" s="65" t="str">
        <f t="shared" si="295"/>
        <v/>
      </c>
      <c r="CE273" s="60">
        <v>0</v>
      </c>
      <c r="CF273" s="79">
        <f t="shared" si="296"/>
        <v>0</v>
      </c>
      <c r="CG273" s="71">
        <v>7.94</v>
      </c>
      <c r="CH273" s="60">
        <v>13.75</v>
      </c>
      <c r="CI273" s="60">
        <v>10.7</v>
      </c>
      <c r="CJ273" s="60">
        <v>5.12</v>
      </c>
      <c r="CK273" s="59">
        <f t="shared" si="311"/>
        <v>64.483627204030228</v>
      </c>
      <c r="CL273" s="60">
        <v>0</v>
      </c>
      <c r="CM273" s="72">
        <f t="shared" si="297"/>
        <v>57.905749999999998</v>
      </c>
      <c r="CN273" s="81">
        <f t="shared" si="298"/>
        <v>1</v>
      </c>
      <c r="CO273" s="59">
        <f t="shared" si="299"/>
        <v>33.351790999999999</v>
      </c>
      <c r="CP273" s="59">
        <f t="shared" si="300"/>
        <v>1</v>
      </c>
      <c r="CQ273" s="59">
        <f t="shared" si="301"/>
        <v>27.130787999999995</v>
      </c>
      <c r="CR273" s="59">
        <f>IF(AV273&gt;0,'Look Ups'!$L$3,0)</f>
        <v>1</v>
      </c>
      <c r="CS273" s="59">
        <f t="shared" si="302"/>
        <v>0</v>
      </c>
      <c r="CT273" s="59">
        <f t="shared" si="312"/>
        <v>0</v>
      </c>
      <c r="CU273" s="59">
        <f t="shared" si="313"/>
        <v>0</v>
      </c>
      <c r="CV273" s="79">
        <f t="shared" si="314"/>
        <v>0</v>
      </c>
      <c r="CW273" s="82" t="str">
        <f t="shared" si="303"/>
        <v>valid</v>
      </c>
      <c r="CX273" s="65" t="str">
        <f t="shared" si="304"/>
        <v>-</v>
      </c>
      <c r="CY273" s="66" t="str">
        <f t="shared" si="318"/>
        <v>MGScr</v>
      </c>
      <c r="CZ273" s="81">
        <f t="shared" si="305"/>
        <v>60.482578999999994</v>
      </c>
      <c r="DA273" s="59">
        <f t="shared" si="306"/>
        <v>0</v>
      </c>
      <c r="DB273" s="59">
        <f t="shared" si="307"/>
        <v>10.771236699999999</v>
      </c>
      <c r="DC273" s="59">
        <f t="shared" si="308"/>
        <v>0</v>
      </c>
      <c r="DD273" s="59">
        <f t="shared" si="309"/>
        <v>1.6926229100000001</v>
      </c>
      <c r="DE273" s="79">
        <f t="shared" si="310"/>
        <v>61.154447323999996</v>
      </c>
      <c r="DF273" s="83">
        <f t="shared" si="285"/>
        <v>71.25381569999999</v>
      </c>
    </row>
    <row r="274" spans="2:255" ht="16.5" customHeight="1" x14ac:dyDescent="0.25">
      <c r="B274" s="47"/>
      <c r="C274" s="47" t="s">
        <v>444</v>
      </c>
      <c r="D274" s="48" t="s">
        <v>235</v>
      </c>
      <c r="E274" s="49" t="s">
        <v>869</v>
      </c>
      <c r="F274" s="50">
        <f t="shared" si="315"/>
        <v>0.92487077620801383</v>
      </c>
      <c r="G274" s="50" t="str">
        <f t="shared" ca="1" si="316"/>
        <v>No</v>
      </c>
      <c r="H274" s="51" t="str">
        <f t="shared" si="317"/>
        <v>Main - Genoa - Screacher - Spinnaker</v>
      </c>
      <c r="I274" s="52">
        <v>40088</v>
      </c>
      <c r="J274" s="52">
        <v>40088</v>
      </c>
      <c r="K274" s="53" t="s">
        <v>142</v>
      </c>
      <c r="L274" s="53" t="s">
        <v>143</v>
      </c>
      <c r="M274" s="54"/>
      <c r="N274" s="55" t="s">
        <v>127</v>
      </c>
      <c r="O274" s="55" t="s">
        <v>128</v>
      </c>
      <c r="P274" s="86"/>
      <c r="Q274" s="57">
        <v>7.09</v>
      </c>
      <c r="R274" s="58"/>
      <c r="S274" s="59">
        <f t="shared" si="286"/>
        <v>0.17725000000000002</v>
      </c>
      <c r="T274" s="272">
        <v>0.03</v>
      </c>
      <c r="U274" s="272"/>
      <c r="V274" s="61">
        <f t="shared" si="287"/>
        <v>7.06</v>
      </c>
      <c r="W274" s="62">
        <f>IF(RL&gt;0,IF(RL&gt;'Look Ups'!R$7,'Look Ups'!R$8,('Look Ups'!R$3*RL^3+'Look Ups'!R$4*RL^2+'Look Ups'!R$5*RL+'Look Ups'!R$6)),0)</f>
        <v>0.29000152192799999</v>
      </c>
      <c r="X274" s="63">
        <f>855+22</f>
        <v>877</v>
      </c>
      <c r="Y274" s="289"/>
      <c r="Z274" s="338"/>
      <c r="AA274" s="338"/>
      <c r="AB274" s="290">
        <f t="shared" si="288"/>
        <v>877</v>
      </c>
      <c r="AC274" s="66">
        <f t="shared" si="289"/>
        <v>877</v>
      </c>
      <c r="AD274" s="67" t="s">
        <v>129</v>
      </c>
      <c r="AE274" s="68" t="s">
        <v>130</v>
      </c>
      <c r="AF274" s="69" t="s">
        <v>131</v>
      </c>
      <c r="AG274" s="70">
        <f>IF(C274="",0,VLOOKUP(AD274,'Look Ups'!$B$3:$C$6,2,0)*VLOOKUP(AE274,'Look Ups'!$E$3:$F$5,2,0)*VLOOKUP(AF274,'Look Ups'!$H$3:$I$7,2,0))</f>
        <v>1</v>
      </c>
      <c r="AH274" s="278">
        <v>10.65</v>
      </c>
      <c r="AI274" s="272">
        <v>10.43</v>
      </c>
      <c r="AJ274" s="272">
        <v>2.92</v>
      </c>
      <c r="AK274" s="272">
        <v>0.77</v>
      </c>
      <c r="AL274" s="272">
        <v>0.76</v>
      </c>
      <c r="AM274" s="272">
        <v>10.62</v>
      </c>
      <c r="AN274" s="272">
        <v>0.16</v>
      </c>
      <c r="AO274" s="272">
        <v>2.97</v>
      </c>
      <c r="AP274" s="272">
        <v>0.05</v>
      </c>
      <c r="AQ274" s="272">
        <v>0.46</v>
      </c>
      <c r="AR274" s="272" t="s">
        <v>132</v>
      </c>
      <c r="AS274" s="75">
        <v>73</v>
      </c>
      <c r="AT274" s="59">
        <f t="shared" si="290"/>
        <v>10.67</v>
      </c>
      <c r="AU274" s="59">
        <f t="shared" si="291"/>
        <v>1.83195</v>
      </c>
      <c r="AV274" s="72">
        <f>IF(C274="",0,(0.5*(_ML1*LPM)+0.5*(_ML1*HB)+0.66*(P*PR)+0.66*(_ML2*RDM)+0.66*(E*ER))*VLOOKUP(BATT,'Look Ups'!$N$3:$O$4,2,0))</f>
        <v>26.100419999999996</v>
      </c>
      <c r="AW274" s="279"/>
      <c r="AX274" s="280"/>
      <c r="AY274" s="278">
        <v>9.7100000000000009</v>
      </c>
      <c r="AZ274" s="272">
        <v>2.5</v>
      </c>
      <c r="BA274" s="272">
        <v>2.91</v>
      </c>
      <c r="BB274" s="272">
        <v>0.09</v>
      </c>
      <c r="BC274" s="272">
        <v>8.65</v>
      </c>
      <c r="BD274" s="272"/>
      <c r="BE274" s="272"/>
      <c r="BF274" s="272">
        <v>0.05</v>
      </c>
      <c r="BG274" s="272">
        <v>-0.04</v>
      </c>
      <c r="BH274" s="75" t="s">
        <v>445</v>
      </c>
      <c r="BI274" s="72">
        <f t="shared" si="292"/>
        <v>12.339460000000001</v>
      </c>
      <c r="BJ274" s="76"/>
      <c r="BK274" s="77"/>
      <c r="BL274" s="78"/>
      <c r="BM274" s="78"/>
      <c r="BN274" s="77"/>
      <c r="BO274" s="78"/>
      <c r="BP274" s="78"/>
      <c r="BQ274" s="79">
        <f t="shared" si="293"/>
        <v>0</v>
      </c>
      <c r="BR274" s="80"/>
      <c r="BS274" s="77"/>
      <c r="BT274" s="77"/>
      <c r="BU274" s="77"/>
      <c r="BV274" s="77"/>
      <c r="BW274" s="77"/>
      <c r="BX274" s="77"/>
      <c r="BY274" s="72">
        <f t="shared" si="294"/>
        <v>0</v>
      </c>
      <c r="BZ274" s="279">
        <v>7.08</v>
      </c>
      <c r="CA274" s="272">
        <v>11.65</v>
      </c>
      <c r="CB274" s="272">
        <v>12.72</v>
      </c>
      <c r="CC274" s="272">
        <v>7.05</v>
      </c>
      <c r="CD274" s="65">
        <f t="shared" si="295"/>
        <v>99.576271186440678</v>
      </c>
      <c r="CE274" s="272"/>
      <c r="CF274" s="79">
        <f t="shared" si="296"/>
        <v>71.647800000000004</v>
      </c>
      <c r="CG274" s="278">
        <v>6.17</v>
      </c>
      <c r="CH274" s="272">
        <v>10.69</v>
      </c>
      <c r="CI274" s="272">
        <v>9.9</v>
      </c>
      <c r="CJ274" s="272">
        <v>3.14</v>
      </c>
      <c r="CK274" s="59">
        <f t="shared" si="311"/>
        <v>50.891410048622362</v>
      </c>
      <c r="CL274" s="272"/>
      <c r="CM274" s="72">
        <f t="shared" si="297"/>
        <v>32.137558333333338</v>
      </c>
      <c r="CN274" s="81">
        <f t="shared" si="298"/>
        <v>1</v>
      </c>
      <c r="CO274" s="59">
        <f t="shared" si="299"/>
        <v>27.932369999999992</v>
      </c>
      <c r="CP274" s="59">
        <f t="shared" si="300"/>
        <v>1</v>
      </c>
      <c r="CQ274" s="59">
        <f t="shared" si="301"/>
        <v>12.339460000000001</v>
      </c>
      <c r="CR274" s="59">
        <f>IF(AV274&gt;0,'Look Ups'!$L$3,0)</f>
        <v>1</v>
      </c>
      <c r="CS274" s="59">
        <f t="shared" si="302"/>
        <v>0</v>
      </c>
      <c r="CT274" s="59">
        <f t="shared" si="312"/>
        <v>0</v>
      </c>
      <c r="CU274" s="59">
        <f t="shared" si="313"/>
        <v>0</v>
      </c>
      <c r="CV274" s="79">
        <f t="shared" si="314"/>
        <v>0</v>
      </c>
      <c r="CW274" s="82" t="str">
        <f t="shared" si="303"/>
        <v>valid</v>
      </c>
      <c r="CX274" s="65" t="str">
        <f t="shared" si="304"/>
        <v>valid</v>
      </c>
      <c r="CY274" s="66" t="str">
        <f t="shared" si="318"/>
        <v>MGScrSp</v>
      </c>
      <c r="CZ274" s="81">
        <f t="shared" si="305"/>
        <v>40.271829999999994</v>
      </c>
      <c r="DA274" s="59">
        <f t="shared" si="306"/>
        <v>17.792501999999999</v>
      </c>
      <c r="DB274" s="59">
        <f t="shared" si="307"/>
        <v>6.9293344166666673</v>
      </c>
      <c r="DC274" s="59">
        <f t="shared" si="308"/>
        <v>17.4959603</v>
      </c>
      <c r="DD274" s="59">
        <f t="shared" si="309"/>
        <v>1.0888954083333335</v>
      </c>
      <c r="DE274" s="79">
        <f t="shared" si="310"/>
        <v>41.955864279999993</v>
      </c>
      <c r="DF274" s="83">
        <f t="shared" si="285"/>
        <v>58.85668570833333</v>
      </c>
    </row>
    <row r="275" spans="2:255" ht="16.5" customHeight="1" x14ac:dyDescent="0.25">
      <c r="B275" s="47"/>
      <c r="C275" s="47" t="s">
        <v>446</v>
      </c>
      <c r="D275" s="48" t="s">
        <v>447</v>
      </c>
      <c r="E275" s="49" t="s">
        <v>448</v>
      </c>
      <c r="F275" s="50">
        <f t="shared" si="315"/>
        <v>1.1598112486992218</v>
      </c>
      <c r="G275" s="50" t="str">
        <f t="shared" ca="1" si="316"/>
        <v>No</v>
      </c>
      <c r="H275" s="51" t="str">
        <f t="shared" si="317"/>
        <v>Main - Genoa - Screacher</v>
      </c>
      <c r="I275" s="52">
        <v>40285</v>
      </c>
      <c r="J275" s="52">
        <v>40292</v>
      </c>
      <c r="K275" s="53" t="s">
        <v>449</v>
      </c>
      <c r="L275" s="53" t="s">
        <v>143</v>
      </c>
      <c r="M275" s="54"/>
      <c r="N275" s="55" t="s">
        <v>149</v>
      </c>
      <c r="O275" s="55"/>
      <c r="P275" s="86"/>
      <c r="Q275" s="57">
        <v>9.49</v>
      </c>
      <c r="R275" s="58"/>
      <c r="S275" s="59">
        <f t="shared" si="286"/>
        <v>0.23725000000000002</v>
      </c>
      <c r="T275" s="60"/>
      <c r="U275" s="60"/>
      <c r="V275" s="61">
        <f t="shared" si="287"/>
        <v>9.49</v>
      </c>
      <c r="W275" s="62">
        <f>IF(RL&gt;0,IF(RL&gt;'Look Ups'!R$7,'Look Ups'!R$8,('Look Ups'!R$3*RL^3+'Look Ups'!R$4*RL^2+'Look Ups'!R$5*RL+'Look Ups'!R$6)),0)</f>
        <v>0.297674981517</v>
      </c>
      <c r="X275" s="63">
        <v>845</v>
      </c>
      <c r="Y275" s="64"/>
      <c r="Z275" s="64"/>
      <c r="AA275" s="64"/>
      <c r="AB275" s="65">
        <f t="shared" si="288"/>
        <v>845</v>
      </c>
      <c r="AC275" s="66">
        <f t="shared" si="289"/>
        <v>845</v>
      </c>
      <c r="AD275" s="67" t="s">
        <v>129</v>
      </c>
      <c r="AE275" s="68" t="s">
        <v>130</v>
      </c>
      <c r="AF275" s="69" t="s">
        <v>131</v>
      </c>
      <c r="AG275" s="70">
        <f>IF(C275="",0,VLOOKUP(AD275,'Look Ups'!$B$3:$C$6,2,0)*VLOOKUP(AE275,'Look Ups'!$E$3:$F$5,2,0)*VLOOKUP(AF275,'Look Ups'!$H$3:$I$7,2,0))</f>
        <v>1</v>
      </c>
      <c r="AH275" s="71">
        <v>13.1</v>
      </c>
      <c r="AI275" s="60">
        <v>12.7</v>
      </c>
      <c r="AJ275" s="60">
        <v>3.98</v>
      </c>
      <c r="AK275" s="60">
        <v>1.2450000000000001</v>
      </c>
      <c r="AL275" s="60">
        <v>0.75</v>
      </c>
      <c r="AM275" s="60">
        <v>13.1</v>
      </c>
      <c r="AN275" s="60">
        <v>0.15</v>
      </c>
      <c r="AO275" s="60">
        <v>4</v>
      </c>
      <c r="AP275" s="60">
        <v>0.08</v>
      </c>
      <c r="AQ275" s="60">
        <v>0.55000000000000004</v>
      </c>
      <c r="AR275" s="60" t="s">
        <v>132</v>
      </c>
      <c r="AS275" s="75"/>
      <c r="AT275" s="59">
        <f t="shared" si="290"/>
        <v>13.18</v>
      </c>
      <c r="AU275" s="59">
        <f t="shared" si="291"/>
        <v>2.7018749999999998</v>
      </c>
      <c r="AV275" s="72">
        <f>IF(C275="",0,(0.5*(_ML1*LPM)+0.5*(_ML1*HB)+0.66*(P*PR)+0.66*(_ML2*RDM)+0.66*(E*ER))*VLOOKUP(BATT,'Look Ups'!$N$3:$O$4,2,0))</f>
        <v>42.018349999999991</v>
      </c>
      <c r="AW275" s="73"/>
      <c r="AX275" s="74"/>
      <c r="AY275" s="71">
        <v>11.3</v>
      </c>
      <c r="AZ275" s="60">
        <v>2.48</v>
      </c>
      <c r="BA275" s="60">
        <v>2.5</v>
      </c>
      <c r="BB275" s="60">
        <v>0.1</v>
      </c>
      <c r="BC275" s="60">
        <v>11.2</v>
      </c>
      <c r="BD275" s="60"/>
      <c r="BE275" s="60"/>
      <c r="BF275" s="60"/>
      <c r="BG275" s="60">
        <v>-0.11</v>
      </c>
      <c r="BH275" s="75"/>
      <c r="BI275" s="72">
        <f t="shared" si="292"/>
        <v>13.356619999999999</v>
      </c>
      <c r="BJ275" s="76"/>
      <c r="BK275" s="77"/>
      <c r="BL275" s="78"/>
      <c r="BM275" s="78"/>
      <c r="BN275" s="77"/>
      <c r="BO275" s="78"/>
      <c r="BP275" s="78"/>
      <c r="BQ275" s="79">
        <f t="shared" si="293"/>
        <v>0</v>
      </c>
      <c r="BR275" s="80"/>
      <c r="BS275" s="77"/>
      <c r="BT275" s="77"/>
      <c r="BU275" s="77"/>
      <c r="BV275" s="77"/>
      <c r="BW275" s="77"/>
      <c r="BX275" s="77"/>
      <c r="BY275" s="72">
        <f t="shared" si="294"/>
        <v>0</v>
      </c>
      <c r="BZ275" s="73"/>
      <c r="CA275" s="60"/>
      <c r="CB275" s="60"/>
      <c r="CC275" s="60"/>
      <c r="CD275" s="65" t="str">
        <f t="shared" si="295"/>
        <v/>
      </c>
      <c r="CE275" s="60"/>
      <c r="CF275" s="79">
        <f t="shared" si="296"/>
        <v>0</v>
      </c>
      <c r="CG275" s="71">
        <v>8.4</v>
      </c>
      <c r="CH275" s="60">
        <v>14.214</v>
      </c>
      <c r="CI275" s="60">
        <v>12.2</v>
      </c>
      <c r="CJ275" s="60">
        <v>5.7930000000000001</v>
      </c>
      <c r="CK275" s="59">
        <f t="shared" si="311"/>
        <v>68.964285714285708</v>
      </c>
      <c r="CL275" s="60"/>
      <c r="CM275" s="72">
        <f t="shared" si="297"/>
        <v>69.495234000000011</v>
      </c>
      <c r="CN275" s="81">
        <f t="shared" si="298"/>
        <v>1</v>
      </c>
      <c r="CO275" s="59">
        <f t="shared" si="299"/>
        <v>44.720224999999992</v>
      </c>
      <c r="CP275" s="59">
        <f t="shared" si="300"/>
        <v>1</v>
      </c>
      <c r="CQ275" s="59">
        <f t="shared" si="301"/>
        <v>13.356619999999999</v>
      </c>
      <c r="CR275" s="59">
        <f>IF(AV275&gt;0,'Look Ups'!$L$3,0)</f>
        <v>1</v>
      </c>
      <c r="CS275" s="59">
        <f t="shared" si="302"/>
        <v>0</v>
      </c>
      <c r="CT275" s="59">
        <f t="shared" si="312"/>
        <v>0</v>
      </c>
      <c r="CU275" s="59">
        <f t="shared" si="313"/>
        <v>0</v>
      </c>
      <c r="CV275" s="79">
        <f t="shared" si="314"/>
        <v>0</v>
      </c>
      <c r="CW275" s="82" t="str">
        <f t="shared" si="303"/>
        <v>valid</v>
      </c>
      <c r="CX275" s="65" t="str">
        <f t="shared" si="304"/>
        <v>-</v>
      </c>
      <c r="CY275" s="66" t="str">
        <f t="shared" si="318"/>
        <v>MGScr</v>
      </c>
      <c r="CZ275" s="81">
        <f t="shared" si="305"/>
        <v>58.076844999999992</v>
      </c>
      <c r="DA275" s="59">
        <f t="shared" si="306"/>
        <v>0</v>
      </c>
      <c r="DB275" s="59">
        <f t="shared" si="307"/>
        <v>19.648514900000002</v>
      </c>
      <c r="DC275" s="59">
        <f t="shared" si="308"/>
        <v>0</v>
      </c>
      <c r="DD275" s="59">
        <f t="shared" si="309"/>
        <v>3.0876237700000004</v>
      </c>
      <c r="DE275" s="79">
        <f t="shared" si="310"/>
        <v>61.464114339999988</v>
      </c>
      <c r="DF275" s="83">
        <f t="shared" si="285"/>
        <v>77.725359900000001</v>
      </c>
    </row>
    <row r="276" spans="2:255" ht="16.5" customHeight="1" x14ac:dyDescent="0.25">
      <c r="B276" s="47"/>
      <c r="C276" s="47" t="s">
        <v>450</v>
      </c>
      <c r="D276" s="84" t="s">
        <v>451</v>
      </c>
      <c r="E276" s="49" t="s">
        <v>275</v>
      </c>
      <c r="F276" s="50">
        <f t="shared" si="315"/>
        <v>0.78847053859947824</v>
      </c>
      <c r="G276" s="50" t="str">
        <f t="shared" ca="1" si="316"/>
        <v>No</v>
      </c>
      <c r="H276" s="51" t="str">
        <f t="shared" si="317"/>
        <v>Main - Genoa - Spinnaker</v>
      </c>
      <c r="I276" s="52">
        <v>39324</v>
      </c>
      <c r="J276" s="52"/>
      <c r="K276" s="53" t="s">
        <v>452</v>
      </c>
      <c r="L276" s="53" t="s">
        <v>275</v>
      </c>
      <c r="M276" s="54"/>
      <c r="N276" s="75" t="s">
        <v>149</v>
      </c>
      <c r="O276" s="75"/>
      <c r="P276" s="85">
        <v>5.85</v>
      </c>
      <c r="Q276" s="57">
        <v>9.98</v>
      </c>
      <c r="R276" s="58"/>
      <c r="S276" s="59">
        <f t="shared" si="286"/>
        <v>0.24950000000000003</v>
      </c>
      <c r="T276" s="60">
        <v>0.08</v>
      </c>
      <c r="U276" s="60">
        <v>0</v>
      </c>
      <c r="V276" s="61">
        <f t="shared" si="287"/>
        <v>9.9</v>
      </c>
      <c r="W276" s="62">
        <f>IF(RL&gt;0,IF(RL&gt;'Look Ups'!R$7,'Look Ups'!R$8,('Look Ups'!R$3*RL^3+'Look Ups'!R$4*RL^2+'Look Ups'!R$5*RL+'Look Ups'!R$6)),0)</f>
        <v>0.29835586700000005</v>
      </c>
      <c r="X276" s="63">
        <v>2533</v>
      </c>
      <c r="Y276" s="64"/>
      <c r="Z276" s="64"/>
      <c r="AA276" s="64"/>
      <c r="AB276" s="65">
        <f t="shared" si="288"/>
        <v>2533</v>
      </c>
      <c r="AC276" s="66">
        <f t="shared" si="289"/>
        <v>2533</v>
      </c>
      <c r="AD276" s="67" t="s">
        <v>129</v>
      </c>
      <c r="AE276" s="68" t="s">
        <v>130</v>
      </c>
      <c r="AF276" s="69" t="s">
        <v>131</v>
      </c>
      <c r="AG276" s="70">
        <f>IF(C276="",0,VLOOKUP(AD276,'Look Ups'!$B$3:$C$6,2,0)*VLOOKUP(AE276,'Look Ups'!$E$3:$F$5,2,0)*VLOOKUP(AF276,'Look Ups'!$H$3:$I$7,2,0))</f>
        <v>1</v>
      </c>
      <c r="AH276" s="71">
        <v>11.33</v>
      </c>
      <c r="AI276" s="60">
        <v>11.24</v>
      </c>
      <c r="AJ276" s="60">
        <v>4.0199999999999996</v>
      </c>
      <c r="AK276" s="60">
        <v>0.21</v>
      </c>
      <c r="AL276" s="60">
        <v>1.1400000000000001</v>
      </c>
      <c r="AM276" s="60">
        <v>10.92</v>
      </c>
      <c r="AN276" s="60">
        <v>0.2</v>
      </c>
      <c r="AO276" s="60">
        <v>4.21</v>
      </c>
      <c r="AP276" s="60">
        <v>0.09</v>
      </c>
      <c r="AQ276" s="60">
        <v>0</v>
      </c>
      <c r="AR276" s="60" t="s">
        <v>132</v>
      </c>
      <c r="AS276" s="75" t="s">
        <v>453</v>
      </c>
      <c r="AT276" s="59">
        <f t="shared" si="290"/>
        <v>11.01</v>
      </c>
      <c r="AU276" s="59">
        <f t="shared" si="291"/>
        <v>0</v>
      </c>
      <c r="AV276" s="72">
        <f>IF(C276="",0,(0.5*(_ML1*LPM)+0.5*(_ML1*HB)+0.66*(P*PR)+0.66*(_ML2*RDM)+0.66*(E*ER))*VLOOKUP(BATT,'Look Ups'!$N$3:$O$4,2,0))</f>
        <v>34.111440000000002</v>
      </c>
      <c r="AW276" s="73"/>
      <c r="AX276" s="74"/>
      <c r="AY276" s="71">
        <v>10.220000000000001</v>
      </c>
      <c r="AZ276" s="60">
        <v>3.29</v>
      </c>
      <c r="BA276" s="60">
        <v>3.64</v>
      </c>
      <c r="BB276" s="60">
        <v>0.08</v>
      </c>
      <c r="BC276" s="60">
        <v>9.27</v>
      </c>
      <c r="BD276" s="60"/>
      <c r="BE276" s="60"/>
      <c r="BF276" s="60">
        <v>0.01</v>
      </c>
      <c r="BG276" s="60">
        <v>0.01</v>
      </c>
      <c r="BH276" s="75">
        <v>0</v>
      </c>
      <c r="BI276" s="72">
        <f t="shared" si="292"/>
        <v>17.132725999999998</v>
      </c>
      <c r="BJ276" s="76"/>
      <c r="BK276" s="77"/>
      <c r="BL276" s="78"/>
      <c r="BM276" s="78"/>
      <c r="BN276" s="77"/>
      <c r="BO276" s="78"/>
      <c r="BP276" s="78"/>
      <c r="BQ276" s="79">
        <f t="shared" si="293"/>
        <v>0</v>
      </c>
      <c r="BR276" s="80"/>
      <c r="BS276" s="77"/>
      <c r="BT276" s="77"/>
      <c r="BU276" s="77"/>
      <c r="BV276" s="77"/>
      <c r="BW276" s="77"/>
      <c r="BX276" s="77"/>
      <c r="BY276" s="72">
        <f t="shared" si="294"/>
        <v>0</v>
      </c>
      <c r="BZ276" s="73">
        <v>8.0399999999999991</v>
      </c>
      <c r="CA276" s="60">
        <v>12.46</v>
      </c>
      <c r="CB276" s="60">
        <v>11.12</v>
      </c>
      <c r="CC276" s="60">
        <v>8.02</v>
      </c>
      <c r="CD276" s="65">
        <f t="shared" si="295"/>
        <v>99.75124378109453</v>
      </c>
      <c r="CE276" s="75">
        <v>0</v>
      </c>
      <c r="CF276" s="79">
        <f t="shared" si="296"/>
        <v>78.835799999999992</v>
      </c>
      <c r="CG276" s="71"/>
      <c r="CH276" s="60"/>
      <c r="CI276" s="60"/>
      <c r="CJ276" s="60"/>
      <c r="CK276" s="59" t="str">
        <f t="shared" si="311"/>
        <v/>
      </c>
      <c r="CL276" s="75">
        <v>0</v>
      </c>
      <c r="CM276" s="72">
        <f t="shared" si="297"/>
        <v>0</v>
      </c>
      <c r="CN276" s="81">
        <f t="shared" si="298"/>
        <v>1</v>
      </c>
      <c r="CO276" s="59">
        <f t="shared" si="299"/>
        <v>34.111440000000002</v>
      </c>
      <c r="CP276" s="59">
        <f t="shared" si="300"/>
        <v>1</v>
      </c>
      <c r="CQ276" s="59">
        <f t="shared" si="301"/>
        <v>17.132725999999998</v>
      </c>
      <c r="CR276" s="59">
        <f>IF(AV276&gt;0,'Look Ups'!$L$3,0)</f>
        <v>1</v>
      </c>
      <c r="CS276" s="59">
        <f t="shared" si="302"/>
        <v>0</v>
      </c>
      <c r="CT276" s="59">
        <f t="shared" si="312"/>
        <v>0</v>
      </c>
      <c r="CU276" s="59">
        <f t="shared" si="313"/>
        <v>0</v>
      </c>
      <c r="CV276" s="79">
        <f t="shared" si="314"/>
        <v>0</v>
      </c>
      <c r="CW276" s="82" t="str">
        <f t="shared" si="303"/>
        <v>-</v>
      </c>
      <c r="CX276" s="65" t="str">
        <f t="shared" si="304"/>
        <v>valid</v>
      </c>
      <c r="CY276" s="66" t="str">
        <f t="shared" si="318"/>
        <v>MGSp</v>
      </c>
      <c r="CZ276" s="81">
        <f t="shared" si="305"/>
        <v>51.244166</v>
      </c>
      <c r="DA276" s="59">
        <f t="shared" si="306"/>
        <v>18.510922199999996</v>
      </c>
      <c r="DB276" s="59">
        <f t="shared" si="307"/>
        <v>0</v>
      </c>
      <c r="DC276" s="59">
        <f t="shared" si="308"/>
        <v>18.202406829999997</v>
      </c>
      <c r="DD276" s="59">
        <f t="shared" si="309"/>
        <v>0</v>
      </c>
      <c r="DE276" s="79">
        <f t="shared" si="310"/>
        <v>53.077867112</v>
      </c>
      <c r="DF276" s="83">
        <f t="shared" si="285"/>
        <v>69.755088199999989</v>
      </c>
    </row>
    <row r="277" spans="2:255" ht="16.5" customHeight="1" x14ac:dyDescent="0.25">
      <c r="B277" s="47"/>
      <c r="C277" s="47" t="s">
        <v>454</v>
      </c>
      <c r="D277" s="48" t="s">
        <v>410</v>
      </c>
      <c r="E277" s="49" t="s">
        <v>302</v>
      </c>
      <c r="F277" s="50">
        <f t="shared" si="315"/>
        <v>0.89031857745649468</v>
      </c>
      <c r="G277" s="50" t="str">
        <f t="shared" ca="1" si="316"/>
        <v>No</v>
      </c>
      <c r="H277" s="51" t="str">
        <f t="shared" si="317"/>
        <v>Main - Genoa - Spinnaker</v>
      </c>
      <c r="I277" s="52">
        <v>39692</v>
      </c>
      <c r="J277" s="52"/>
      <c r="K277" s="53" t="s">
        <v>455</v>
      </c>
      <c r="L277" s="53" t="s">
        <v>187</v>
      </c>
      <c r="M277" s="54"/>
      <c r="N277" s="55" t="s">
        <v>127</v>
      </c>
      <c r="O277" s="55" t="s">
        <v>128</v>
      </c>
      <c r="P277" s="56"/>
      <c r="Q277" s="57">
        <v>8.7249999999999996</v>
      </c>
      <c r="R277" s="58"/>
      <c r="S277" s="59">
        <f t="shared" si="286"/>
        <v>0.21812500000000001</v>
      </c>
      <c r="T277" s="60">
        <v>0.15</v>
      </c>
      <c r="U277" s="60">
        <v>0</v>
      </c>
      <c r="V277" s="61">
        <f t="shared" si="287"/>
        <v>8.5749999999999993</v>
      </c>
      <c r="W277" s="62">
        <f>IF(RL&gt;0,IF(RL&gt;'Look Ups'!R$7,'Look Ups'!R$8,('Look Ups'!R$3*RL^3+'Look Ups'!R$4*RL^2+'Look Ups'!R$5*RL+'Look Ups'!R$6)),0)</f>
        <v>0.29557695360937503</v>
      </c>
      <c r="X277" s="63">
        <v>1563</v>
      </c>
      <c r="Y277" s="64"/>
      <c r="Z277" s="64"/>
      <c r="AA277" s="64"/>
      <c r="AB277" s="65">
        <f t="shared" si="288"/>
        <v>1563</v>
      </c>
      <c r="AC277" s="66">
        <f t="shared" si="289"/>
        <v>1563</v>
      </c>
      <c r="AD277" s="67" t="s">
        <v>129</v>
      </c>
      <c r="AE277" s="68" t="s">
        <v>130</v>
      </c>
      <c r="AF277" s="69" t="s">
        <v>131</v>
      </c>
      <c r="AG277" s="70">
        <f>IF(C277="",0,VLOOKUP(AD277,'Look Ups'!$B$3:$C$6,2,0)*VLOOKUP(AE277,'Look Ups'!$E$3:$F$5,2,0)*VLOOKUP(AF277,'Look Ups'!$H$3:$I$7,2,0))</f>
        <v>1</v>
      </c>
      <c r="AH277" s="71">
        <v>11.33</v>
      </c>
      <c r="AI277" s="60">
        <v>11.46</v>
      </c>
      <c r="AJ277" s="60">
        <v>3.45</v>
      </c>
      <c r="AK277" s="60">
        <v>7.0000000000000007E-2</v>
      </c>
      <c r="AL277" s="60">
        <v>1.77</v>
      </c>
      <c r="AM277" s="60">
        <v>10.95</v>
      </c>
      <c r="AN277" s="60">
        <v>0.14000000000000001</v>
      </c>
      <c r="AO277" s="60">
        <v>3.64</v>
      </c>
      <c r="AP277" s="60">
        <v>0.03</v>
      </c>
      <c r="AQ277" s="60">
        <v>0.5</v>
      </c>
      <c r="AR277" s="60" t="s">
        <v>132</v>
      </c>
      <c r="AS277" s="75">
        <v>9</v>
      </c>
      <c r="AT277" s="59">
        <f t="shared" si="290"/>
        <v>10.979999999999999</v>
      </c>
      <c r="AU277" s="59">
        <f t="shared" si="291"/>
        <v>2.0531249999999996</v>
      </c>
      <c r="AV277" s="72">
        <f>IF(C277="",0,(0.5*(_ML1*LPM)+0.5*(_ML1*HB)+0.66*(P*PR)+0.66*(_ML2*RDM)+0.66*(E*ER))*VLOOKUP(BATT,'Look Ups'!$N$3:$O$4,2,0))</f>
        <v>34.412224000000002</v>
      </c>
      <c r="AW277" s="73"/>
      <c r="AX277" s="74"/>
      <c r="AY277" s="71">
        <v>9.6</v>
      </c>
      <c r="AZ277" s="60">
        <v>3.87</v>
      </c>
      <c r="BA277" s="60">
        <v>4.25</v>
      </c>
      <c r="BB277" s="60">
        <v>7.0000000000000007E-2</v>
      </c>
      <c r="BC277" s="60">
        <v>8.75</v>
      </c>
      <c r="BD277" s="60"/>
      <c r="BE277" s="60"/>
      <c r="BF277" s="60">
        <v>0.04</v>
      </c>
      <c r="BG277" s="60">
        <v>0</v>
      </c>
      <c r="BH277" s="75">
        <v>1</v>
      </c>
      <c r="BI277" s="72">
        <f t="shared" si="292"/>
        <v>19.003350000000001</v>
      </c>
      <c r="BJ277" s="76"/>
      <c r="BK277" s="77"/>
      <c r="BL277" s="78"/>
      <c r="BM277" s="78"/>
      <c r="BN277" s="77"/>
      <c r="BO277" s="78"/>
      <c r="BP277" s="78"/>
      <c r="BQ277" s="79">
        <f t="shared" si="293"/>
        <v>0</v>
      </c>
      <c r="BR277" s="80"/>
      <c r="BS277" s="77"/>
      <c r="BT277" s="77"/>
      <c r="BU277" s="77"/>
      <c r="BV277" s="77"/>
      <c r="BW277" s="77"/>
      <c r="BX277" s="77"/>
      <c r="BY277" s="72">
        <f t="shared" si="294"/>
        <v>0</v>
      </c>
      <c r="BZ277" s="73">
        <v>8.33</v>
      </c>
      <c r="CA277" s="60">
        <v>12.1</v>
      </c>
      <c r="CB277" s="60">
        <v>11</v>
      </c>
      <c r="CC277" s="60">
        <v>7.6</v>
      </c>
      <c r="CD277" s="65">
        <f t="shared" si="295"/>
        <v>91.23649459783914</v>
      </c>
      <c r="CE277" s="60" t="s">
        <v>456</v>
      </c>
      <c r="CF277" s="79">
        <f t="shared" si="296"/>
        <v>74.555250000000001</v>
      </c>
      <c r="CG277" s="71"/>
      <c r="CH277" s="60"/>
      <c r="CI277" s="60"/>
      <c r="CJ277" s="60"/>
      <c r="CK277" s="59" t="str">
        <f t="shared" si="311"/>
        <v/>
      </c>
      <c r="CL277" s="60">
        <v>0</v>
      </c>
      <c r="CM277" s="72">
        <f t="shared" si="297"/>
        <v>0</v>
      </c>
      <c r="CN277" s="81">
        <f t="shared" si="298"/>
        <v>1</v>
      </c>
      <c r="CO277" s="59">
        <f t="shared" si="299"/>
        <v>36.465349000000003</v>
      </c>
      <c r="CP277" s="59">
        <f t="shared" si="300"/>
        <v>1</v>
      </c>
      <c r="CQ277" s="59">
        <f t="shared" si="301"/>
        <v>19.003350000000001</v>
      </c>
      <c r="CR277" s="59">
        <f>IF(AV277&gt;0,'Look Ups'!$L$3,0)</f>
        <v>1</v>
      </c>
      <c r="CS277" s="59">
        <f t="shared" si="302"/>
        <v>0</v>
      </c>
      <c r="CT277" s="59">
        <f t="shared" si="312"/>
        <v>0</v>
      </c>
      <c r="CU277" s="59">
        <f t="shared" si="313"/>
        <v>0</v>
      </c>
      <c r="CV277" s="79">
        <f t="shared" si="314"/>
        <v>0</v>
      </c>
      <c r="CW277" s="82" t="str">
        <f t="shared" si="303"/>
        <v>-</v>
      </c>
      <c r="CX277" s="65" t="str">
        <f t="shared" si="304"/>
        <v>valid</v>
      </c>
      <c r="CY277" s="66" t="str">
        <f t="shared" si="318"/>
        <v>MGSp</v>
      </c>
      <c r="CZ277" s="81">
        <f t="shared" si="305"/>
        <v>55.468699000000001</v>
      </c>
      <c r="DA277" s="59">
        <f t="shared" si="306"/>
        <v>16.665569999999999</v>
      </c>
      <c r="DB277" s="59">
        <f t="shared" si="307"/>
        <v>0</v>
      </c>
      <c r="DC277" s="59">
        <f t="shared" si="308"/>
        <v>16.387810500000001</v>
      </c>
      <c r="DD277" s="59">
        <f t="shared" si="309"/>
        <v>0</v>
      </c>
      <c r="DE277" s="79">
        <f t="shared" si="310"/>
        <v>57.354594892000001</v>
      </c>
      <c r="DF277" s="83">
        <f t="shared" si="285"/>
        <v>72.134269000000003</v>
      </c>
    </row>
    <row r="278" spans="2:255" ht="16.5" customHeight="1" x14ac:dyDescent="0.25">
      <c r="B278" s="47"/>
      <c r="C278" s="168" t="s">
        <v>765</v>
      </c>
      <c r="D278" s="169" t="s">
        <v>766</v>
      </c>
      <c r="E278" s="170" t="s">
        <v>190</v>
      </c>
      <c r="F278" s="50">
        <f t="shared" si="315"/>
        <v>0.75679732771662156</v>
      </c>
      <c r="G278" s="50" t="str">
        <f t="shared" ca="1" si="316"/>
        <v>No</v>
      </c>
      <c r="H278" s="51" t="str">
        <f t="shared" si="317"/>
        <v>Main - Genoa - Screacher - Spinnaker</v>
      </c>
      <c r="I278" s="171">
        <v>36609</v>
      </c>
      <c r="J278" s="171"/>
      <c r="K278" s="172" t="s">
        <v>465</v>
      </c>
      <c r="L278" s="172" t="s">
        <v>239</v>
      </c>
      <c r="M278" s="171"/>
      <c r="N278" s="173" t="s">
        <v>149</v>
      </c>
      <c r="O278" s="173"/>
      <c r="P278" s="174">
        <v>6</v>
      </c>
      <c r="Q278" s="175">
        <v>9.84</v>
      </c>
      <c r="R278" s="78"/>
      <c r="S278" s="59">
        <f t="shared" si="286"/>
        <v>0.246</v>
      </c>
      <c r="T278" s="176">
        <v>0.05</v>
      </c>
      <c r="U278" s="176">
        <v>0</v>
      </c>
      <c r="V278" s="61">
        <f t="shared" si="287"/>
        <v>9.7899999999999991</v>
      </c>
      <c r="W278" s="62">
        <f>IF(RL&gt;0,IF(RL&gt;'Look Ups'!R$7,'Look Ups'!R$8,('Look Ups'!R$3*RL^3+'Look Ups'!R$4*RL^2+'Look Ups'!R$5*RL+'Look Ups'!R$6)),0)</f>
        <v>0.29818761338700006</v>
      </c>
      <c r="X278" s="177">
        <v>2892</v>
      </c>
      <c r="Y278" s="178"/>
      <c r="Z278" s="178"/>
      <c r="AA278" s="178"/>
      <c r="AB278" s="65">
        <f t="shared" si="288"/>
        <v>2892</v>
      </c>
      <c r="AC278" s="66">
        <f t="shared" si="289"/>
        <v>2892</v>
      </c>
      <c r="AD278" s="179" t="s">
        <v>129</v>
      </c>
      <c r="AE278" s="180" t="s">
        <v>130</v>
      </c>
      <c r="AF278" s="181" t="s">
        <v>131</v>
      </c>
      <c r="AG278" s="70">
        <f>IF(C278="",0,VLOOKUP(AD278,'Look Ups'!$B$3:$C$6,2,0)*VLOOKUP(AE278,'Look Ups'!$E$3:$F$5,2,0)*VLOOKUP(AF278,'Look Ups'!$H$3:$I$7,2,0))</f>
        <v>1</v>
      </c>
      <c r="AH278" s="80">
        <v>11.9</v>
      </c>
      <c r="AI278" s="77">
        <v>11.86</v>
      </c>
      <c r="AJ278" s="77">
        <v>4</v>
      </c>
      <c r="AK278" s="77">
        <v>0.25</v>
      </c>
      <c r="AL278" s="77">
        <v>1.35</v>
      </c>
      <c r="AM278" s="77">
        <v>11.45</v>
      </c>
      <c r="AN278" s="77">
        <v>0.1</v>
      </c>
      <c r="AO278" s="77">
        <v>4.1500000000000004</v>
      </c>
      <c r="AP278" s="77">
        <v>0.14000000000000001</v>
      </c>
      <c r="AQ278" s="77">
        <v>0</v>
      </c>
      <c r="AR278" s="77" t="s">
        <v>132</v>
      </c>
      <c r="AS278" s="87">
        <v>0</v>
      </c>
      <c r="AT278" s="59">
        <f t="shared" si="290"/>
        <v>11.59</v>
      </c>
      <c r="AU278" s="59">
        <f t="shared" si="291"/>
        <v>0</v>
      </c>
      <c r="AV278" s="72">
        <f>IF(C278="",0,(0.5*(_ML1*LPM)+0.5*(_ML1*HB)+0.66*(P*PR)+0.66*(_ML2*RDM)+0.66*(E*ER))*VLOOKUP(BATT,'Look Ups'!$N$3:$O$4,2,0))</f>
        <v>36.993920000000003</v>
      </c>
      <c r="AW278" s="182"/>
      <c r="AX278" s="183"/>
      <c r="AY278" s="80">
        <v>11.3</v>
      </c>
      <c r="AZ278" s="77">
        <v>3.79</v>
      </c>
      <c r="BA278" s="77">
        <v>4.4000000000000004</v>
      </c>
      <c r="BB278" s="77">
        <v>0.1</v>
      </c>
      <c r="BC278" s="77">
        <v>9.8000000000000007</v>
      </c>
      <c r="BD278" s="77"/>
      <c r="BE278" s="77"/>
      <c r="BF278" s="77">
        <v>-0.15</v>
      </c>
      <c r="BG278" s="77">
        <v>-0.43</v>
      </c>
      <c r="BH278" s="87"/>
      <c r="BI278" s="72">
        <f t="shared" si="292"/>
        <v>17.526760000000007</v>
      </c>
      <c r="BJ278" s="76"/>
      <c r="BK278" s="77"/>
      <c r="BL278" s="78"/>
      <c r="BM278" s="78"/>
      <c r="BN278" s="77"/>
      <c r="BO278" s="78"/>
      <c r="BP278" s="78"/>
      <c r="BQ278" s="79">
        <f t="shared" si="293"/>
        <v>0</v>
      </c>
      <c r="BR278" s="80"/>
      <c r="BS278" s="77"/>
      <c r="BT278" s="77"/>
      <c r="BU278" s="77"/>
      <c r="BV278" s="77"/>
      <c r="BW278" s="77"/>
      <c r="BX278" s="77"/>
      <c r="BY278" s="72">
        <f t="shared" si="294"/>
        <v>0</v>
      </c>
      <c r="BZ278" s="182">
        <v>6.45</v>
      </c>
      <c r="CA278" s="77">
        <v>13.3</v>
      </c>
      <c r="CB278" s="77">
        <v>12.6</v>
      </c>
      <c r="CC278" s="77">
        <v>6.3</v>
      </c>
      <c r="CD278" s="65">
        <f t="shared" si="295"/>
        <v>97.674418604651152</v>
      </c>
      <c r="CE278" s="77">
        <v>0</v>
      </c>
      <c r="CF278" s="79">
        <f t="shared" si="296"/>
        <v>68.311250000000001</v>
      </c>
      <c r="CG278" s="80">
        <v>7</v>
      </c>
      <c r="CH278" s="77">
        <v>12.1</v>
      </c>
      <c r="CI278" s="77">
        <v>10.9</v>
      </c>
      <c r="CJ278" s="77">
        <v>3.55</v>
      </c>
      <c r="CK278" s="59">
        <f t="shared" si="311"/>
        <v>50.714285714285708</v>
      </c>
      <c r="CL278" s="77">
        <v>0</v>
      </c>
      <c r="CM278" s="72">
        <f t="shared" si="297"/>
        <v>40.633333333333333</v>
      </c>
      <c r="CN278" s="81">
        <f t="shared" si="298"/>
        <v>1</v>
      </c>
      <c r="CO278" s="59">
        <f t="shared" si="299"/>
        <v>36.993920000000003</v>
      </c>
      <c r="CP278" s="59">
        <f t="shared" si="300"/>
        <v>1</v>
      </c>
      <c r="CQ278" s="59">
        <f t="shared" si="301"/>
        <v>17.526760000000007</v>
      </c>
      <c r="CR278" s="59">
        <f>IF(AV278&gt;0,'Look Ups'!$L$3,0)</f>
        <v>1</v>
      </c>
      <c r="CS278" s="59">
        <f t="shared" si="302"/>
        <v>0</v>
      </c>
      <c r="CT278" s="59">
        <f t="shared" si="312"/>
        <v>0</v>
      </c>
      <c r="CU278" s="59">
        <f t="shared" si="313"/>
        <v>0</v>
      </c>
      <c r="CV278" s="79">
        <f t="shared" si="314"/>
        <v>0</v>
      </c>
      <c r="CW278" s="82" t="str">
        <f t="shared" si="303"/>
        <v>valid</v>
      </c>
      <c r="CX278" s="65" t="str">
        <f t="shared" si="304"/>
        <v>valid</v>
      </c>
      <c r="CY278" s="66" t="str">
        <f t="shared" si="318"/>
        <v>MGScrSp</v>
      </c>
      <c r="CZ278" s="81">
        <f t="shared" si="305"/>
        <v>54.520680000000013</v>
      </c>
      <c r="DA278" s="59">
        <f t="shared" si="306"/>
        <v>15.235346999999997</v>
      </c>
      <c r="DB278" s="59">
        <f t="shared" si="307"/>
        <v>8.087300666666664</v>
      </c>
      <c r="DC278" s="59">
        <f t="shared" si="308"/>
        <v>14.981424549999996</v>
      </c>
      <c r="DD278" s="59">
        <f t="shared" si="309"/>
        <v>1.2708615333333328</v>
      </c>
      <c r="DE278" s="79">
        <f t="shared" si="310"/>
        <v>56.623133280000012</v>
      </c>
      <c r="DF278" s="83">
        <f t="shared" si="285"/>
        <v>70.772966083333344</v>
      </c>
    </row>
    <row r="279" spans="2:255" ht="16.5" customHeight="1" x14ac:dyDescent="0.25">
      <c r="B279" s="168"/>
      <c r="C279" s="168" t="s">
        <v>767</v>
      </c>
      <c r="D279" s="184" t="s">
        <v>768</v>
      </c>
      <c r="E279" s="170" t="s">
        <v>769</v>
      </c>
      <c r="F279" s="50">
        <f t="shared" si="315"/>
        <v>0.74734921628602013</v>
      </c>
      <c r="G279" s="50" t="str">
        <f t="shared" ca="1" si="316"/>
        <v>No</v>
      </c>
      <c r="H279" s="51" t="str">
        <f t="shared" si="317"/>
        <v>Main - Genoa - Screacher - Spinnaker</v>
      </c>
      <c r="I279" s="171">
        <v>38304</v>
      </c>
      <c r="J279" s="171"/>
      <c r="K279" s="172" t="s">
        <v>422</v>
      </c>
      <c r="L279" s="172" t="s">
        <v>387</v>
      </c>
      <c r="M279" s="171"/>
      <c r="N279" s="173" t="s">
        <v>537</v>
      </c>
      <c r="O279" s="173"/>
      <c r="P279" s="185"/>
      <c r="Q279" s="175">
        <v>7.81</v>
      </c>
      <c r="R279" s="78"/>
      <c r="S279" s="59">
        <f t="shared" si="286"/>
        <v>0.19525000000000001</v>
      </c>
      <c r="T279" s="176">
        <v>0.15</v>
      </c>
      <c r="U279" s="176">
        <v>0</v>
      </c>
      <c r="V279" s="61">
        <f t="shared" si="287"/>
        <v>7.6599999999999993</v>
      </c>
      <c r="W279" s="62">
        <f>IF(RL&gt;0,IF(RL&gt;'Look Ups'!R$7,'Look Ups'!R$8,('Look Ups'!R$3*RL^3+'Look Ups'!R$4*RL^2+'Look Ups'!R$5*RL+'Look Ups'!R$6)),0)</f>
        <v>0.292556178168</v>
      </c>
      <c r="X279" s="177">
        <v>1380</v>
      </c>
      <c r="Y279" s="178"/>
      <c r="Z279" s="178"/>
      <c r="AA279" s="178"/>
      <c r="AB279" s="65">
        <f t="shared" si="288"/>
        <v>1380</v>
      </c>
      <c r="AC279" s="66">
        <f t="shared" si="289"/>
        <v>1380</v>
      </c>
      <c r="AD279" s="179" t="s">
        <v>129</v>
      </c>
      <c r="AE279" s="180" t="s">
        <v>130</v>
      </c>
      <c r="AF279" s="181" t="s">
        <v>131</v>
      </c>
      <c r="AG279" s="70">
        <f>IF(C279="",0,VLOOKUP(AD279,'Look Ups'!$B$3:$C$6,2,0)*VLOOKUP(AE279,'Look Ups'!$E$3:$F$5,2,0)*VLOOKUP(AF279,'Look Ups'!$H$3:$I$7,2,0))</f>
        <v>1</v>
      </c>
      <c r="AH279" s="80">
        <v>9.32</v>
      </c>
      <c r="AI279" s="77">
        <v>8.8800000000000008</v>
      </c>
      <c r="AJ279" s="77">
        <v>3.31</v>
      </c>
      <c r="AK279" s="77">
        <v>0.84</v>
      </c>
      <c r="AL279" s="77">
        <v>0.57999999999999996</v>
      </c>
      <c r="AM279" s="77">
        <v>8.9700000000000006</v>
      </c>
      <c r="AN279" s="77">
        <v>0.12</v>
      </c>
      <c r="AO279" s="77">
        <v>3.47</v>
      </c>
      <c r="AP279" s="77">
        <v>0</v>
      </c>
      <c r="AQ279" s="77"/>
      <c r="AR279" s="77" t="s">
        <v>132</v>
      </c>
      <c r="AS279" s="87">
        <v>0</v>
      </c>
      <c r="AT279" s="59">
        <f t="shared" si="290"/>
        <v>8.9700000000000006</v>
      </c>
      <c r="AU279" s="59">
        <f t="shared" si="291"/>
        <v>0</v>
      </c>
      <c r="AV279" s="72">
        <f>IF(C279="",0,(0.5*(_ML1*LPM)+0.5*(_ML1*HB)+0.66*(P*PR)+0.66*(_ML2*RDM)+0.66*(E*ER))*VLOOKUP(BATT,'Look Ups'!$N$3:$O$4,2,0))</f>
        <v>23.448687999999997</v>
      </c>
      <c r="AW279" s="182"/>
      <c r="AX279" s="183"/>
      <c r="AY279" s="80">
        <v>8.3000000000000007</v>
      </c>
      <c r="AZ279" s="77">
        <v>2.5300000000000002</v>
      </c>
      <c r="BA279" s="77">
        <v>2.78</v>
      </c>
      <c r="BB279" s="77">
        <v>0.09</v>
      </c>
      <c r="BC279" s="77">
        <v>7.59</v>
      </c>
      <c r="BD279" s="77"/>
      <c r="BE279" s="77"/>
      <c r="BF279" s="77">
        <v>0</v>
      </c>
      <c r="BG279" s="77">
        <v>0</v>
      </c>
      <c r="BH279" s="87">
        <v>0</v>
      </c>
      <c r="BI279" s="72">
        <f t="shared" si="292"/>
        <v>10.664632000000001</v>
      </c>
      <c r="BJ279" s="76"/>
      <c r="BK279" s="77"/>
      <c r="BL279" s="78"/>
      <c r="BM279" s="78"/>
      <c r="BN279" s="77"/>
      <c r="BO279" s="78"/>
      <c r="BP279" s="78"/>
      <c r="BQ279" s="79">
        <f t="shared" si="293"/>
        <v>0</v>
      </c>
      <c r="BR279" s="80"/>
      <c r="BS279" s="77"/>
      <c r="BT279" s="77"/>
      <c r="BU279" s="77"/>
      <c r="BV279" s="77"/>
      <c r="BW279" s="77"/>
      <c r="BX279" s="77"/>
      <c r="BY279" s="72">
        <f t="shared" si="294"/>
        <v>0</v>
      </c>
      <c r="BZ279" s="182">
        <v>6.89</v>
      </c>
      <c r="CA279" s="77">
        <v>9.11</v>
      </c>
      <c r="CB279" s="77">
        <v>11.31</v>
      </c>
      <c r="CC279" s="77">
        <v>5.68</v>
      </c>
      <c r="CD279" s="65">
        <f t="shared" si="295"/>
        <v>82.438316400580547</v>
      </c>
      <c r="CE279" s="87">
        <v>0</v>
      </c>
      <c r="CF279" s="79">
        <f t="shared" si="296"/>
        <v>50.38635</v>
      </c>
      <c r="CG279" s="80">
        <v>5</v>
      </c>
      <c r="CH279" s="77">
        <v>6.93</v>
      </c>
      <c r="CI279" s="77">
        <v>9.1</v>
      </c>
      <c r="CJ279" s="77">
        <v>2.87</v>
      </c>
      <c r="CK279" s="59">
        <f t="shared" si="311"/>
        <v>57.400000000000006</v>
      </c>
      <c r="CL279" s="87">
        <v>0</v>
      </c>
      <c r="CM279" s="72">
        <f t="shared" si="297"/>
        <v>22.014533333333336</v>
      </c>
      <c r="CN279" s="81">
        <f t="shared" si="298"/>
        <v>1</v>
      </c>
      <c r="CO279" s="59">
        <f t="shared" si="299"/>
        <v>23.448687999999997</v>
      </c>
      <c r="CP279" s="59">
        <f t="shared" si="300"/>
        <v>1</v>
      </c>
      <c r="CQ279" s="59">
        <f t="shared" si="301"/>
        <v>10.664632000000001</v>
      </c>
      <c r="CR279" s="59">
        <f>IF(AV279&gt;0,'Look Ups'!$L$3,0)</f>
        <v>1</v>
      </c>
      <c r="CS279" s="59">
        <f t="shared" si="302"/>
        <v>0</v>
      </c>
      <c r="CT279" s="59">
        <f t="shared" si="312"/>
        <v>0</v>
      </c>
      <c r="CU279" s="59">
        <f t="shared" si="313"/>
        <v>0</v>
      </c>
      <c r="CV279" s="79">
        <f t="shared" si="314"/>
        <v>0</v>
      </c>
      <c r="CW279" s="82" t="str">
        <f t="shared" si="303"/>
        <v>valid</v>
      </c>
      <c r="CX279" s="65" t="str">
        <f t="shared" si="304"/>
        <v>valid</v>
      </c>
      <c r="CY279" s="66" t="str">
        <f t="shared" si="318"/>
        <v>MGScrSp</v>
      </c>
      <c r="CZ279" s="81">
        <f t="shared" si="305"/>
        <v>34.113320000000002</v>
      </c>
      <c r="DA279" s="59">
        <f t="shared" si="306"/>
        <v>11.916515399999998</v>
      </c>
      <c r="DB279" s="59">
        <f t="shared" si="307"/>
        <v>3.9724654666666672</v>
      </c>
      <c r="DC279" s="59">
        <f t="shared" si="308"/>
        <v>11.717906809999999</v>
      </c>
      <c r="DD279" s="59">
        <f t="shared" si="309"/>
        <v>0.62424457333333339</v>
      </c>
      <c r="DE279" s="79">
        <f t="shared" si="310"/>
        <v>35.493998048000002</v>
      </c>
      <c r="DF279" s="83">
        <f t="shared" si="285"/>
        <v>46.455471383333339</v>
      </c>
    </row>
    <row r="280" spans="2:255" ht="16.5" customHeight="1" x14ac:dyDescent="0.25">
      <c r="B280" s="168"/>
      <c r="C280" s="47" t="s">
        <v>457</v>
      </c>
      <c r="D280" s="48" t="s">
        <v>458</v>
      </c>
      <c r="E280" s="49" t="s">
        <v>459</v>
      </c>
      <c r="F280" s="50">
        <f t="shared" si="315"/>
        <v>1.4558281243211202</v>
      </c>
      <c r="G280" s="50" t="str">
        <f t="shared" ca="1" si="316"/>
        <v>No</v>
      </c>
      <c r="H280" s="51" t="str">
        <f t="shared" si="317"/>
        <v>Main - Genoa - Screacher</v>
      </c>
      <c r="I280" s="52">
        <v>41002</v>
      </c>
      <c r="J280" s="52">
        <v>41002</v>
      </c>
      <c r="K280" s="208"/>
      <c r="L280" s="53" t="s">
        <v>137</v>
      </c>
      <c r="M280" s="54"/>
      <c r="N280" s="55" t="s">
        <v>127</v>
      </c>
      <c r="O280" s="55"/>
      <c r="P280" s="56"/>
      <c r="Q280" s="57">
        <v>18.28</v>
      </c>
      <c r="R280" s="58"/>
      <c r="S280" s="59">
        <f t="shared" si="286"/>
        <v>0.45700000000000007</v>
      </c>
      <c r="T280" s="60"/>
      <c r="U280" s="60">
        <v>0</v>
      </c>
      <c r="V280" s="61">
        <f t="shared" si="287"/>
        <v>18.28</v>
      </c>
      <c r="W280" s="62">
        <f>IF(RL&gt;0,IF(RL&gt;'Look Ups'!R$7,'Look Ups'!R$8,('Look Ups'!R$3*RL^3+'Look Ups'!R$4*RL^2+'Look Ups'!R$5*RL+'Look Ups'!R$6)),0)</f>
        <v>0.3</v>
      </c>
      <c r="X280" s="63">
        <v>6062</v>
      </c>
      <c r="Y280" s="206"/>
      <c r="Z280" s="64"/>
      <c r="AA280" s="64"/>
      <c r="AB280" s="65">
        <f t="shared" si="288"/>
        <v>6062</v>
      </c>
      <c r="AC280" s="66">
        <f t="shared" si="289"/>
        <v>6062</v>
      </c>
      <c r="AD280" s="67" t="s">
        <v>129</v>
      </c>
      <c r="AE280" s="68" t="s">
        <v>130</v>
      </c>
      <c r="AF280" s="69" t="s">
        <v>131</v>
      </c>
      <c r="AG280" s="70">
        <f>IF(C280="",0,VLOOKUP(AD280,'Look Ups'!$B$3:$C$6,2,0)*VLOOKUP(AE280,'Look Ups'!$E$3:$F$5,2,0)*VLOOKUP(AF280,'Look Ups'!$H$3:$I$7,2,0))</f>
        <v>1</v>
      </c>
      <c r="AH280" s="71">
        <v>28.28</v>
      </c>
      <c r="AI280" s="60">
        <v>27.7</v>
      </c>
      <c r="AJ280" s="60">
        <v>7.78</v>
      </c>
      <c r="AK280" s="60">
        <v>3.98</v>
      </c>
      <c r="AL280" s="60">
        <v>0.9</v>
      </c>
      <c r="AM280" s="60">
        <v>27.53</v>
      </c>
      <c r="AN280" s="60">
        <v>0.26</v>
      </c>
      <c r="AO280" s="60">
        <v>8</v>
      </c>
      <c r="AP280" s="60">
        <v>7.0000000000000007E-2</v>
      </c>
      <c r="AQ280" s="60">
        <v>1.42</v>
      </c>
      <c r="AR280" s="60" t="s">
        <v>132</v>
      </c>
      <c r="AS280" s="75">
        <v>0</v>
      </c>
      <c r="AT280" s="59">
        <f t="shared" si="290"/>
        <v>27.6</v>
      </c>
      <c r="AU280" s="59">
        <f t="shared" si="291"/>
        <v>14.659725</v>
      </c>
      <c r="AV280" s="72">
        <f>IF(C280="",0,(0.5*(_ML1*LPM)+0.5*(_ML1*HB)+0.66*(P*PR)+0.66*(_ML2*RDM)+0.66*(E*ER))*VLOOKUP(BATT,'Look Ups'!$N$3:$O$4,2,0))</f>
        <v>187.83394800000002</v>
      </c>
      <c r="AW280" s="73"/>
      <c r="AX280" s="74"/>
      <c r="AY280" s="71">
        <v>31.1</v>
      </c>
      <c r="AZ280" s="60">
        <v>12</v>
      </c>
      <c r="BA280" s="60">
        <v>13.4</v>
      </c>
      <c r="BB280" s="60">
        <v>0.85</v>
      </c>
      <c r="BC280" s="60">
        <v>27.6</v>
      </c>
      <c r="BD280" s="60"/>
      <c r="BE280" s="60"/>
      <c r="BF280" s="60">
        <v>-0.43</v>
      </c>
      <c r="BG280" s="60"/>
      <c r="BH280" s="75">
        <v>0</v>
      </c>
      <c r="BI280" s="72">
        <f t="shared" si="292"/>
        <v>186.28452000000004</v>
      </c>
      <c r="BJ280" s="76"/>
      <c r="BK280" s="77"/>
      <c r="BL280" s="78"/>
      <c r="BM280" s="78"/>
      <c r="BN280" s="77"/>
      <c r="BO280" s="78"/>
      <c r="BP280" s="78"/>
      <c r="BQ280" s="79">
        <f t="shared" si="293"/>
        <v>0</v>
      </c>
      <c r="BR280" s="80"/>
      <c r="BS280" s="77"/>
      <c r="BT280" s="77"/>
      <c r="BU280" s="77"/>
      <c r="BV280" s="77"/>
      <c r="BW280" s="77"/>
      <c r="BX280" s="77"/>
      <c r="BY280" s="72">
        <f t="shared" si="294"/>
        <v>0</v>
      </c>
      <c r="BZ280" s="73"/>
      <c r="CA280" s="60"/>
      <c r="CB280" s="60"/>
      <c r="CC280" s="60"/>
      <c r="CD280" s="65" t="str">
        <f t="shared" si="295"/>
        <v/>
      </c>
      <c r="CE280" s="60">
        <v>0</v>
      </c>
      <c r="CF280" s="79">
        <f t="shared" si="296"/>
        <v>0</v>
      </c>
      <c r="CG280" s="71">
        <v>17</v>
      </c>
      <c r="CH280" s="60">
        <v>30.5</v>
      </c>
      <c r="CI280" s="60">
        <v>27.8</v>
      </c>
      <c r="CJ280" s="60">
        <v>8.5500000000000007</v>
      </c>
      <c r="CK280" s="59">
        <f t="shared" si="311"/>
        <v>50.294117647058826</v>
      </c>
      <c r="CL280" s="60">
        <v>0</v>
      </c>
      <c r="CM280" s="72">
        <f t="shared" si="297"/>
        <v>248.74666666666667</v>
      </c>
      <c r="CN280" s="81">
        <f t="shared" si="298"/>
        <v>1</v>
      </c>
      <c r="CO280" s="59">
        <f t="shared" si="299"/>
        <v>202.49367300000003</v>
      </c>
      <c r="CP280" s="59">
        <f t="shared" si="300"/>
        <v>1</v>
      </c>
      <c r="CQ280" s="59">
        <f t="shared" si="301"/>
        <v>186.28452000000004</v>
      </c>
      <c r="CR280" s="59">
        <f>IF(AV280&gt;0,'Look Ups'!$L$3,0)</f>
        <v>1</v>
      </c>
      <c r="CS280" s="59">
        <f t="shared" si="302"/>
        <v>0</v>
      </c>
      <c r="CT280" s="59">
        <f t="shared" si="312"/>
        <v>0</v>
      </c>
      <c r="CU280" s="59">
        <f t="shared" si="313"/>
        <v>0</v>
      </c>
      <c r="CV280" s="79">
        <f t="shared" si="314"/>
        <v>0</v>
      </c>
      <c r="CW280" s="82" t="str">
        <f t="shared" si="303"/>
        <v>valid</v>
      </c>
      <c r="CX280" s="65" t="str">
        <f t="shared" si="304"/>
        <v>-</v>
      </c>
      <c r="CY280" s="66" t="str">
        <f t="shared" si="318"/>
        <v>MGScr</v>
      </c>
      <c r="CZ280" s="81">
        <f t="shared" si="305"/>
        <v>388.7781930000001</v>
      </c>
      <c r="DA280" s="59">
        <f t="shared" si="306"/>
        <v>0</v>
      </c>
      <c r="DB280" s="59">
        <f t="shared" si="307"/>
        <v>21.861751333333316</v>
      </c>
      <c r="DC280" s="59">
        <f t="shared" si="308"/>
        <v>0</v>
      </c>
      <c r="DD280" s="59">
        <f t="shared" si="309"/>
        <v>3.4354180666666645</v>
      </c>
      <c r="DE280" s="79">
        <f t="shared" si="310"/>
        <v>390.52878152400012</v>
      </c>
      <c r="DF280" s="83">
        <f t="shared" si="285"/>
        <v>410.6399443333334</v>
      </c>
    </row>
    <row r="281" spans="2:255" ht="16.5" customHeight="1" x14ac:dyDescent="0.25">
      <c r="B281" s="47"/>
      <c r="C281" s="168" t="s">
        <v>770</v>
      </c>
      <c r="D281" s="169" t="s">
        <v>771</v>
      </c>
      <c r="E281" s="170" t="s">
        <v>772</v>
      </c>
      <c r="F281" s="50">
        <f t="shared" si="315"/>
        <v>0.78567615933641788</v>
      </c>
      <c r="G281" s="50" t="str">
        <f t="shared" ca="1" si="316"/>
        <v>No</v>
      </c>
      <c r="H281" s="51" t="str">
        <f t="shared" si="317"/>
        <v>Main - Genoa - Spinnaker</v>
      </c>
      <c r="I281" s="171">
        <v>35509</v>
      </c>
      <c r="J281" s="171"/>
      <c r="K281" s="172" t="s">
        <v>518</v>
      </c>
      <c r="L281" s="172" t="s">
        <v>239</v>
      </c>
      <c r="M281" s="171"/>
      <c r="N281" s="173" t="s">
        <v>149</v>
      </c>
      <c r="O281" s="173"/>
      <c r="P281" s="174">
        <v>7.3</v>
      </c>
      <c r="Q281" s="175">
        <v>11.79</v>
      </c>
      <c r="R281" s="78"/>
      <c r="S281" s="59">
        <f t="shared" si="286"/>
        <v>0.29475000000000001</v>
      </c>
      <c r="T281" s="176">
        <v>0</v>
      </c>
      <c r="U281" s="176">
        <v>0</v>
      </c>
      <c r="V281" s="61">
        <f t="shared" si="287"/>
        <v>11.79</v>
      </c>
      <c r="W281" s="62">
        <f>IF(RL&gt;0,IF(RL&gt;'Look Ups'!R$7,'Look Ups'!R$8,('Look Ups'!R$3*RL^3+'Look Ups'!R$4*RL^2+'Look Ups'!R$5*RL+'Look Ups'!R$6)),0)</f>
        <v>0.29988158518699998</v>
      </c>
      <c r="X281" s="177">
        <v>5660</v>
      </c>
      <c r="Y281" s="178">
        <v>0</v>
      </c>
      <c r="Z281" s="178"/>
      <c r="AA281" s="178"/>
      <c r="AB281" s="65">
        <f t="shared" si="288"/>
        <v>5660</v>
      </c>
      <c r="AC281" s="66">
        <f t="shared" si="289"/>
        <v>5660</v>
      </c>
      <c r="AD281" s="179" t="s">
        <v>129</v>
      </c>
      <c r="AE281" s="180" t="s">
        <v>130</v>
      </c>
      <c r="AF281" s="181" t="s">
        <v>131</v>
      </c>
      <c r="AG281" s="70">
        <f>IF(C281="",0,VLOOKUP(AD281,'Look Ups'!$B$3:$C$6,2,0)*VLOOKUP(AE281,'Look Ups'!$E$3:$F$5,2,0)*VLOOKUP(AF281,'Look Ups'!$H$3:$I$7,2,0))</f>
        <v>1</v>
      </c>
      <c r="AH281" s="80">
        <v>14.27</v>
      </c>
      <c r="AI281" s="77">
        <v>14.2</v>
      </c>
      <c r="AJ281" s="77">
        <v>4.95</v>
      </c>
      <c r="AK281" s="77">
        <v>0.2</v>
      </c>
      <c r="AL281" s="77">
        <v>1.0900000000000001</v>
      </c>
      <c r="AM281" s="77">
        <v>13.62</v>
      </c>
      <c r="AN281" s="77">
        <v>0.125</v>
      </c>
      <c r="AO281" s="77">
        <v>5.17</v>
      </c>
      <c r="AP281" s="77">
        <v>0</v>
      </c>
      <c r="AQ281" s="77">
        <v>0</v>
      </c>
      <c r="AR281" s="77" t="s">
        <v>132</v>
      </c>
      <c r="AS281" s="87">
        <v>0</v>
      </c>
      <c r="AT281" s="59">
        <f t="shared" si="290"/>
        <v>13.62</v>
      </c>
      <c r="AU281" s="59">
        <f t="shared" si="291"/>
        <v>0</v>
      </c>
      <c r="AV281" s="72">
        <f>IF(C281="",0,(0.5*(_ML1*LPM)+0.5*(_ML1*HB)+0.66*(P*PR)+0.66*(_ML2*RDM)+0.66*(E*ER))*VLOOKUP(BATT,'Look Ups'!$N$3:$O$4,2,0))</f>
        <v>48.084379999999996</v>
      </c>
      <c r="AW281" s="182"/>
      <c r="AX281" s="183"/>
      <c r="AY281" s="80">
        <v>13.5</v>
      </c>
      <c r="AZ281" s="77">
        <v>5.92</v>
      </c>
      <c r="BA281" s="77">
        <v>6.73</v>
      </c>
      <c r="BB281" s="77">
        <v>0</v>
      </c>
      <c r="BC281" s="77">
        <v>11.8</v>
      </c>
      <c r="BD281" s="77"/>
      <c r="BE281" s="77"/>
      <c r="BF281" s="77">
        <v>-0.42</v>
      </c>
      <c r="BG281" s="77">
        <v>0</v>
      </c>
      <c r="BH281" s="87"/>
      <c r="BI281" s="72">
        <f t="shared" si="292"/>
        <v>36.689039999999999</v>
      </c>
      <c r="BJ281" s="76"/>
      <c r="BK281" s="77"/>
      <c r="BL281" s="78"/>
      <c r="BM281" s="78"/>
      <c r="BN281" s="77"/>
      <c r="BO281" s="78"/>
      <c r="BP281" s="78"/>
      <c r="BQ281" s="79">
        <f t="shared" si="293"/>
        <v>0</v>
      </c>
      <c r="BR281" s="80"/>
      <c r="BS281" s="77"/>
      <c r="BT281" s="77"/>
      <c r="BU281" s="77"/>
      <c r="BV281" s="77"/>
      <c r="BW281" s="77"/>
      <c r="BX281" s="77"/>
      <c r="BY281" s="72">
        <f t="shared" si="294"/>
        <v>0</v>
      </c>
      <c r="BZ281" s="182">
        <v>10.7</v>
      </c>
      <c r="CA281" s="77">
        <v>15.28</v>
      </c>
      <c r="CB281" s="77">
        <v>15.27</v>
      </c>
      <c r="CC281" s="77">
        <v>11</v>
      </c>
      <c r="CD281" s="65">
        <f t="shared" si="295"/>
        <v>102.80373831775702</v>
      </c>
      <c r="CE281" s="77">
        <v>0</v>
      </c>
      <c r="CF281" s="79">
        <f t="shared" si="296"/>
        <v>139.2570833333333</v>
      </c>
      <c r="CG281" s="80"/>
      <c r="CH281" s="77"/>
      <c r="CI281" s="77"/>
      <c r="CJ281" s="77"/>
      <c r="CK281" s="59" t="str">
        <f t="shared" si="311"/>
        <v/>
      </c>
      <c r="CL281" s="77">
        <v>0</v>
      </c>
      <c r="CM281" s="72">
        <f t="shared" si="297"/>
        <v>0</v>
      </c>
      <c r="CN281" s="81">
        <f t="shared" si="298"/>
        <v>1</v>
      </c>
      <c r="CO281" s="59">
        <f t="shared" si="299"/>
        <v>48.084379999999996</v>
      </c>
      <c r="CP281" s="59">
        <f t="shared" si="300"/>
        <v>1</v>
      </c>
      <c r="CQ281" s="59">
        <f t="shared" si="301"/>
        <v>36.689039999999999</v>
      </c>
      <c r="CR281" s="59">
        <f>IF(AV281&gt;0,'Look Ups'!$L$3,0)</f>
        <v>1</v>
      </c>
      <c r="CS281" s="59">
        <f t="shared" si="302"/>
        <v>0</v>
      </c>
      <c r="CT281" s="59">
        <f t="shared" si="312"/>
        <v>0</v>
      </c>
      <c r="CU281" s="59">
        <f t="shared" si="313"/>
        <v>0</v>
      </c>
      <c r="CV281" s="79">
        <f t="shared" si="314"/>
        <v>0</v>
      </c>
      <c r="CW281" s="82" t="str">
        <f t="shared" si="303"/>
        <v>-</v>
      </c>
      <c r="CX281" s="65" t="str">
        <f t="shared" si="304"/>
        <v>valid</v>
      </c>
      <c r="CY281" s="66" t="str">
        <f t="shared" si="318"/>
        <v>MGSp</v>
      </c>
      <c r="CZ281" s="81">
        <f t="shared" si="305"/>
        <v>84.773419999999987</v>
      </c>
      <c r="DA281" s="59">
        <f t="shared" si="306"/>
        <v>30.770412999999987</v>
      </c>
      <c r="DB281" s="59">
        <f t="shared" si="307"/>
        <v>0</v>
      </c>
      <c r="DC281" s="59">
        <f t="shared" si="308"/>
        <v>30.25757278333332</v>
      </c>
      <c r="DD281" s="59">
        <f t="shared" si="309"/>
        <v>0</v>
      </c>
      <c r="DE281" s="79">
        <f t="shared" si="310"/>
        <v>86.004116719999985</v>
      </c>
      <c r="DF281" s="83">
        <f t="shared" si="285"/>
        <v>115.54383299999998</v>
      </c>
    </row>
    <row r="282" spans="2:255" ht="16.5" customHeight="1" x14ac:dyDescent="0.25">
      <c r="B282" s="168"/>
      <c r="C282" s="47" t="s">
        <v>472</v>
      </c>
      <c r="D282" s="84" t="s">
        <v>473</v>
      </c>
      <c r="E282" s="49" t="s">
        <v>474</v>
      </c>
      <c r="F282" s="50">
        <f t="shared" si="315"/>
        <v>0.86658160217008751</v>
      </c>
      <c r="G282" s="50" t="str">
        <f t="shared" ca="1" si="316"/>
        <v>No</v>
      </c>
      <c r="H282" s="51" t="str">
        <f t="shared" si="317"/>
        <v>Main - Genoa - Screacher - Spinnaker</v>
      </c>
      <c r="I282" s="52">
        <v>38951</v>
      </c>
      <c r="J282" s="52"/>
      <c r="K282" s="53" t="s">
        <v>422</v>
      </c>
      <c r="L282" s="53" t="s">
        <v>219</v>
      </c>
      <c r="M282" s="54"/>
      <c r="N282" s="55" t="s">
        <v>127</v>
      </c>
      <c r="O282" s="55" t="s">
        <v>128</v>
      </c>
      <c r="P282" s="85"/>
      <c r="Q282" s="57">
        <v>8.31</v>
      </c>
      <c r="R282" s="58"/>
      <c r="S282" s="59">
        <f t="shared" si="286"/>
        <v>0.20775000000000002</v>
      </c>
      <c r="T282" s="60">
        <v>0.09</v>
      </c>
      <c r="U282" s="60">
        <v>0</v>
      </c>
      <c r="V282" s="61">
        <f t="shared" si="287"/>
        <v>8.2200000000000006</v>
      </c>
      <c r="W282" s="62">
        <f>IF(RL&gt;0,IF(RL&gt;'Look Ups'!R$7,'Look Ups'!R$8,('Look Ups'!R$3*RL^3+'Look Ups'!R$4*RL^2+'Look Ups'!R$5*RL+'Look Ups'!R$6)),0)</f>
        <v>0.29452284418399999</v>
      </c>
      <c r="X282" s="63">
        <v>1280</v>
      </c>
      <c r="Y282" s="64"/>
      <c r="Z282" s="64"/>
      <c r="AA282" s="64"/>
      <c r="AB282" s="65">
        <f t="shared" si="288"/>
        <v>1280</v>
      </c>
      <c r="AC282" s="66">
        <f t="shared" si="289"/>
        <v>1280</v>
      </c>
      <c r="AD282" s="67" t="s">
        <v>129</v>
      </c>
      <c r="AE282" s="68" t="s">
        <v>130</v>
      </c>
      <c r="AF282" s="69" t="s">
        <v>131</v>
      </c>
      <c r="AG282" s="70">
        <f>IF(C282="",0,VLOOKUP(AD282,'Look Ups'!$B$3:$C$6,2,0)*VLOOKUP(AE282,'Look Ups'!$E$3:$F$5,2,0)*VLOOKUP(AF282,'Look Ups'!$H$3:$I$7,2,0))</f>
        <v>1</v>
      </c>
      <c r="AH282" s="71">
        <v>10.54</v>
      </c>
      <c r="AI282" s="60">
        <v>10.29</v>
      </c>
      <c r="AJ282" s="60">
        <v>3.13</v>
      </c>
      <c r="AK282" s="60">
        <v>0.75</v>
      </c>
      <c r="AL282" s="60">
        <v>0.64</v>
      </c>
      <c r="AM282" s="60">
        <v>10.08</v>
      </c>
      <c r="AN282" s="60">
        <v>0.05</v>
      </c>
      <c r="AO282" s="60">
        <v>3.27</v>
      </c>
      <c r="AP282" s="60">
        <v>0.04</v>
      </c>
      <c r="AQ282" s="60">
        <v>0.43</v>
      </c>
      <c r="AR282" s="60" t="s">
        <v>132</v>
      </c>
      <c r="AS282" s="75">
        <v>0</v>
      </c>
      <c r="AT282" s="59">
        <f t="shared" si="290"/>
        <v>10.119999999999999</v>
      </c>
      <c r="AU282" s="59">
        <f t="shared" si="291"/>
        <v>1.6254000000000002</v>
      </c>
      <c r="AV282" s="72">
        <f>IF(C282="",0,(0.5*(_ML1*LPM)+0.5*(_ML1*HB)+0.66*(P*PR)+0.66*(_ML2*RDM)+0.66*(E*ER))*VLOOKUP(BATT,'Look Ups'!$N$3:$O$4,2,0))</f>
        <v>25.213064000000003</v>
      </c>
      <c r="AW282" s="73"/>
      <c r="AX282" s="74"/>
      <c r="AY282" s="71">
        <v>8.4700000000000006</v>
      </c>
      <c r="AZ282" s="60">
        <v>2.83</v>
      </c>
      <c r="BA282" s="60">
        <v>3.15</v>
      </c>
      <c r="BB282" s="60">
        <v>0.11</v>
      </c>
      <c r="BC282" s="60">
        <v>7.55</v>
      </c>
      <c r="BD282" s="60"/>
      <c r="BE282" s="60"/>
      <c r="BF282" s="60">
        <v>0.11</v>
      </c>
      <c r="BG282" s="60">
        <v>0</v>
      </c>
      <c r="BH282" s="75">
        <v>0</v>
      </c>
      <c r="BI282" s="72">
        <f t="shared" si="292"/>
        <v>12.761870000000002</v>
      </c>
      <c r="BJ282" s="76"/>
      <c r="BK282" s="77"/>
      <c r="BL282" s="78"/>
      <c r="BM282" s="78"/>
      <c r="BN282" s="77"/>
      <c r="BO282" s="78"/>
      <c r="BP282" s="78"/>
      <c r="BQ282" s="79">
        <f t="shared" si="293"/>
        <v>0</v>
      </c>
      <c r="BR282" s="80"/>
      <c r="BS282" s="77"/>
      <c r="BT282" s="77"/>
      <c r="BU282" s="77"/>
      <c r="BV282" s="77"/>
      <c r="BW282" s="77"/>
      <c r="BX282" s="77"/>
      <c r="BY282" s="72">
        <f t="shared" si="294"/>
        <v>0</v>
      </c>
      <c r="BZ282" s="73">
        <v>8.64</v>
      </c>
      <c r="CA282" s="60">
        <v>11.45</v>
      </c>
      <c r="CB282" s="60">
        <v>10.3</v>
      </c>
      <c r="CC282" s="60">
        <v>8.4</v>
      </c>
      <c r="CD282" s="65">
        <f t="shared" si="295"/>
        <v>97.222222222222214</v>
      </c>
      <c r="CE282" s="75">
        <v>0</v>
      </c>
      <c r="CF282" s="79">
        <f t="shared" si="296"/>
        <v>76.56</v>
      </c>
      <c r="CG282" s="71">
        <v>6.45</v>
      </c>
      <c r="CH282" s="60">
        <v>9.8000000000000007</v>
      </c>
      <c r="CI282" s="60">
        <v>8.35</v>
      </c>
      <c r="CJ282" s="60">
        <v>3.65</v>
      </c>
      <c r="CK282" s="59">
        <f t="shared" si="311"/>
        <v>56.589147286821706</v>
      </c>
      <c r="CL282" s="75">
        <v>0</v>
      </c>
      <c r="CM282" s="72">
        <f t="shared" si="297"/>
        <v>31.838124999999998</v>
      </c>
      <c r="CN282" s="81">
        <f t="shared" si="298"/>
        <v>1</v>
      </c>
      <c r="CO282" s="59">
        <f t="shared" si="299"/>
        <v>26.838464000000002</v>
      </c>
      <c r="CP282" s="59">
        <f t="shared" si="300"/>
        <v>1</v>
      </c>
      <c r="CQ282" s="59">
        <f t="shared" si="301"/>
        <v>12.761870000000002</v>
      </c>
      <c r="CR282" s="59">
        <f>IF(AV282&gt;0,'Look Ups'!$L$3,0)</f>
        <v>1</v>
      </c>
      <c r="CS282" s="59">
        <f t="shared" si="302"/>
        <v>0</v>
      </c>
      <c r="CT282" s="59">
        <f t="shared" si="312"/>
        <v>0</v>
      </c>
      <c r="CU282" s="59">
        <f t="shared" si="313"/>
        <v>0</v>
      </c>
      <c r="CV282" s="79">
        <f t="shared" si="314"/>
        <v>0</v>
      </c>
      <c r="CW282" s="82" t="str">
        <f t="shared" si="303"/>
        <v>valid</v>
      </c>
      <c r="CX282" s="65" t="str">
        <f t="shared" si="304"/>
        <v>valid</v>
      </c>
      <c r="CY282" s="66" t="str">
        <f t="shared" si="318"/>
        <v>MGScrSp</v>
      </c>
      <c r="CZ282" s="81">
        <f t="shared" si="305"/>
        <v>39.600334000000004</v>
      </c>
      <c r="DA282" s="59">
        <f t="shared" si="306"/>
        <v>19.139438999999999</v>
      </c>
      <c r="DB282" s="59">
        <f t="shared" si="307"/>
        <v>6.6766892499999981</v>
      </c>
      <c r="DC282" s="59">
        <f t="shared" si="308"/>
        <v>18.820448349999999</v>
      </c>
      <c r="DD282" s="59">
        <f t="shared" si="309"/>
        <v>1.0491940249999998</v>
      </c>
      <c r="DE282" s="79">
        <f t="shared" si="310"/>
        <v>41.120606152000001</v>
      </c>
      <c r="DF282" s="83">
        <f t="shared" si="285"/>
        <v>59.469976375000002</v>
      </c>
    </row>
    <row r="283" spans="2:255" ht="16.5" customHeight="1" x14ac:dyDescent="0.25">
      <c r="B283" s="47"/>
      <c r="C283" s="168" t="s">
        <v>773</v>
      </c>
      <c r="D283" s="169" t="s">
        <v>774</v>
      </c>
      <c r="E283" s="170" t="s">
        <v>775</v>
      </c>
      <c r="F283" s="50">
        <f t="shared" si="315"/>
        <v>0.83818067367932658</v>
      </c>
      <c r="G283" s="50" t="str">
        <f t="shared" ca="1" si="316"/>
        <v>No</v>
      </c>
      <c r="H283" s="51" t="str">
        <f t="shared" si="317"/>
        <v>Main - Genoa - Spinnaker</v>
      </c>
      <c r="I283" s="171">
        <v>36982</v>
      </c>
      <c r="J283" s="171"/>
      <c r="K283" s="172" t="s">
        <v>776</v>
      </c>
      <c r="L283" s="172" t="s">
        <v>390</v>
      </c>
      <c r="M283" s="171"/>
      <c r="N283" s="173" t="s">
        <v>149</v>
      </c>
      <c r="O283" s="173"/>
      <c r="P283" s="186"/>
      <c r="Q283" s="175">
        <v>11.1</v>
      </c>
      <c r="R283" s="78"/>
      <c r="S283" s="59">
        <f t="shared" si="286"/>
        <v>0.27750000000000002</v>
      </c>
      <c r="T283" s="176">
        <v>0.14000000000000001</v>
      </c>
      <c r="U283" s="176">
        <v>0</v>
      </c>
      <c r="V283" s="61">
        <f t="shared" si="287"/>
        <v>10.959999999999999</v>
      </c>
      <c r="W283" s="62">
        <f>IF(RL&gt;0,IF(RL&gt;'Look Ups'!R$7,'Look Ups'!R$8,('Look Ups'!R$3*RL^3+'Look Ups'!R$4*RL^2+'Look Ups'!R$5*RL+'Look Ups'!R$6)),0)</f>
        <v>0.29949534028800001</v>
      </c>
      <c r="X283" s="177">
        <v>4044</v>
      </c>
      <c r="Y283" s="178">
        <v>0</v>
      </c>
      <c r="Z283" s="178"/>
      <c r="AA283" s="178"/>
      <c r="AB283" s="65">
        <f t="shared" si="288"/>
        <v>4044</v>
      </c>
      <c r="AC283" s="66">
        <f t="shared" si="289"/>
        <v>4044</v>
      </c>
      <c r="AD283" s="179" t="s">
        <v>129</v>
      </c>
      <c r="AE283" s="180" t="s">
        <v>130</v>
      </c>
      <c r="AF283" s="181" t="s">
        <v>131</v>
      </c>
      <c r="AG283" s="70">
        <f>IF(C283="",0,VLOOKUP(AD283,'Look Ups'!$B$3:$C$6,2,0)*VLOOKUP(AE283,'Look Ups'!$E$3:$F$5,2,0)*VLOOKUP(AF283,'Look Ups'!$H$3:$I$7,2,0))</f>
        <v>1</v>
      </c>
      <c r="AH283" s="80">
        <v>14.35</v>
      </c>
      <c r="AI283" s="77">
        <v>14.3</v>
      </c>
      <c r="AJ283" s="77">
        <v>4.4400000000000004</v>
      </c>
      <c r="AK283" s="77">
        <v>0.12</v>
      </c>
      <c r="AL283" s="77">
        <v>1.28</v>
      </c>
      <c r="AM283" s="77">
        <v>13.55</v>
      </c>
      <c r="AN283" s="77">
        <v>0.1</v>
      </c>
      <c r="AO283" s="77">
        <v>4.7</v>
      </c>
      <c r="AP283" s="77">
        <v>0</v>
      </c>
      <c r="AQ283" s="77">
        <v>0</v>
      </c>
      <c r="AR283" s="77" t="s">
        <v>132</v>
      </c>
      <c r="AS283" s="87">
        <v>0</v>
      </c>
      <c r="AT283" s="59">
        <f t="shared" si="290"/>
        <v>13.55</v>
      </c>
      <c r="AU283" s="59">
        <f t="shared" si="291"/>
        <v>0</v>
      </c>
      <c r="AV283" s="72">
        <f>IF(C283="",0,(0.5*(_ML1*LPM)+0.5*(_ML1*HB)+0.66*(P*PR)+0.66*(_ML2*RDM)+0.66*(E*ER))*VLOOKUP(BATT,'Look Ups'!$N$3:$O$4,2,0))</f>
        <v>45.692940000000007</v>
      </c>
      <c r="AW283" s="182"/>
      <c r="AX283" s="183"/>
      <c r="AY283" s="80">
        <v>13.1</v>
      </c>
      <c r="AZ283" s="77">
        <v>5.15</v>
      </c>
      <c r="BA283" s="77">
        <v>5.89</v>
      </c>
      <c r="BB283" s="77">
        <v>0.18</v>
      </c>
      <c r="BC283" s="77">
        <v>11.52</v>
      </c>
      <c r="BD283" s="77"/>
      <c r="BE283" s="77"/>
      <c r="BF283" s="77">
        <v>-0.32</v>
      </c>
      <c r="BG283" s="77">
        <v>-0.1</v>
      </c>
      <c r="BH283" s="87"/>
      <c r="BI283" s="72">
        <f t="shared" si="292"/>
        <v>31.134607999999997</v>
      </c>
      <c r="BJ283" s="76"/>
      <c r="BK283" s="77"/>
      <c r="BL283" s="78"/>
      <c r="BM283" s="78"/>
      <c r="BN283" s="77"/>
      <c r="BO283" s="78"/>
      <c r="BP283" s="78"/>
      <c r="BQ283" s="79">
        <f t="shared" si="293"/>
        <v>0</v>
      </c>
      <c r="BR283" s="80"/>
      <c r="BS283" s="77"/>
      <c r="BT283" s="77"/>
      <c r="BU283" s="77"/>
      <c r="BV283" s="77"/>
      <c r="BW283" s="77"/>
      <c r="BX283" s="77"/>
      <c r="BY283" s="72">
        <f t="shared" si="294"/>
        <v>0</v>
      </c>
      <c r="BZ283" s="182">
        <v>10.5</v>
      </c>
      <c r="CA283" s="77">
        <v>16.3</v>
      </c>
      <c r="CB283" s="77">
        <v>16.3</v>
      </c>
      <c r="CC283" s="77">
        <v>10.24</v>
      </c>
      <c r="CD283" s="65">
        <f t="shared" si="295"/>
        <v>97.523809523809518</v>
      </c>
      <c r="CE283" s="77">
        <v>0</v>
      </c>
      <c r="CF283" s="79">
        <f t="shared" si="296"/>
        <v>139.79966666666667</v>
      </c>
      <c r="CG283" s="80"/>
      <c r="CH283" s="77"/>
      <c r="CI283" s="77"/>
      <c r="CJ283" s="77"/>
      <c r="CK283" s="59" t="str">
        <f t="shared" si="311"/>
        <v/>
      </c>
      <c r="CL283" s="77">
        <v>0</v>
      </c>
      <c r="CM283" s="72">
        <f t="shared" si="297"/>
        <v>0</v>
      </c>
      <c r="CN283" s="81">
        <f t="shared" si="298"/>
        <v>1</v>
      </c>
      <c r="CO283" s="59">
        <f t="shared" si="299"/>
        <v>45.692940000000007</v>
      </c>
      <c r="CP283" s="59">
        <f t="shared" si="300"/>
        <v>1</v>
      </c>
      <c r="CQ283" s="59">
        <f t="shared" si="301"/>
        <v>31.134607999999997</v>
      </c>
      <c r="CR283" s="59">
        <f>IF(AV283&gt;0,'Look Ups'!$L$3,0)</f>
        <v>1</v>
      </c>
      <c r="CS283" s="59">
        <f t="shared" si="302"/>
        <v>0</v>
      </c>
      <c r="CT283" s="59">
        <f t="shared" si="312"/>
        <v>0</v>
      </c>
      <c r="CU283" s="59">
        <f t="shared" si="313"/>
        <v>0</v>
      </c>
      <c r="CV283" s="79">
        <f t="shared" si="314"/>
        <v>0</v>
      </c>
      <c r="CW283" s="82" t="str">
        <f t="shared" si="303"/>
        <v>-</v>
      </c>
      <c r="CX283" s="65" t="str">
        <f t="shared" si="304"/>
        <v>valid</v>
      </c>
      <c r="CY283" s="66" t="str">
        <f t="shared" si="318"/>
        <v>MGSp</v>
      </c>
      <c r="CZ283" s="81">
        <f t="shared" si="305"/>
        <v>76.827548000000007</v>
      </c>
      <c r="DA283" s="59">
        <f t="shared" si="306"/>
        <v>32.599517599999999</v>
      </c>
      <c r="DB283" s="59">
        <f t="shared" si="307"/>
        <v>0</v>
      </c>
      <c r="DC283" s="59">
        <f t="shared" si="308"/>
        <v>32.056192306666667</v>
      </c>
      <c r="DD283" s="59">
        <f t="shared" si="309"/>
        <v>0</v>
      </c>
      <c r="DE283" s="79">
        <f t="shared" si="310"/>
        <v>78.399847856000008</v>
      </c>
      <c r="DF283" s="83">
        <f t="shared" si="285"/>
        <v>109.42706560000001</v>
      </c>
    </row>
    <row r="284" spans="2:255" ht="16.5" customHeight="1" x14ac:dyDescent="0.25">
      <c r="B284" s="168"/>
      <c r="C284" s="168" t="s">
        <v>777</v>
      </c>
      <c r="D284" s="169" t="s">
        <v>778</v>
      </c>
      <c r="E284" s="170" t="s">
        <v>779</v>
      </c>
      <c r="F284" s="50">
        <f t="shared" si="315"/>
        <v>0.65649943307144198</v>
      </c>
      <c r="G284" s="50" t="str">
        <f t="shared" ca="1" si="316"/>
        <v>No</v>
      </c>
      <c r="H284" s="51" t="str">
        <f t="shared" si="317"/>
        <v>Main - Genoa - Spinnaker</v>
      </c>
      <c r="I284" s="171">
        <v>38805</v>
      </c>
      <c r="J284" s="171"/>
      <c r="K284" s="172" t="s">
        <v>780</v>
      </c>
      <c r="L284" s="172" t="s">
        <v>390</v>
      </c>
      <c r="M284" s="171"/>
      <c r="N284" s="173" t="s">
        <v>149</v>
      </c>
      <c r="O284" s="173"/>
      <c r="P284" s="174">
        <v>6.8</v>
      </c>
      <c r="Q284" s="175">
        <v>10.79</v>
      </c>
      <c r="R284" s="78"/>
      <c r="S284" s="59">
        <f t="shared" si="286"/>
        <v>0.26974999999999999</v>
      </c>
      <c r="T284" s="176">
        <v>0.4</v>
      </c>
      <c r="U284" s="176">
        <v>0</v>
      </c>
      <c r="V284" s="61">
        <f t="shared" si="287"/>
        <v>10.389999999999999</v>
      </c>
      <c r="W284" s="62">
        <f>IF(RL&gt;0,IF(RL&gt;'Look Ups'!R$7,'Look Ups'!R$8,('Look Ups'!R$3*RL^3+'Look Ups'!R$4*RL^2+'Look Ups'!R$5*RL+'Look Ups'!R$6)),0)</f>
        <v>0.29898559652700002</v>
      </c>
      <c r="X284" s="177">
        <v>5024</v>
      </c>
      <c r="Y284" s="178"/>
      <c r="Z284" s="178"/>
      <c r="AA284" s="178"/>
      <c r="AB284" s="65">
        <f t="shared" si="288"/>
        <v>5024</v>
      </c>
      <c r="AC284" s="66">
        <f t="shared" si="289"/>
        <v>5024</v>
      </c>
      <c r="AD284" s="179" t="s">
        <v>129</v>
      </c>
      <c r="AE284" s="180" t="s">
        <v>130</v>
      </c>
      <c r="AF284" s="181" t="s">
        <v>131</v>
      </c>
      <c r="AG284" s="70">
        <f>IF(C284="",0,VLOOKUP(AD284,'Look Ups'!$B$3:$C$6,2,0)*VLOOKUP(AE284,'Look Ups'!$E$3:$F$5,2,0)*VLOOKUP(AF284,'Look Ups'!$H$3:$I$7,2,0))</f>
        <v>1</v>
      </c>
      <c r="AH284" s="80">
        <v>11.75</v>
      </c>
      <c r="AI284" s="77">
        <v>11.72</v>
      </c>
      <c r="AJ284" s="77">
        <v>3.58</v>
      </c>
      <c r="AK284" s="77">
        <v>0.11</v>
      </c>
      <c r="AL284" s="77">
        <v>0.2</v>
      </c>
      <c r="AM284" s="77">
        <v>11.29</v>
      </c>
      <c r="AN284" s="77">
        <v>0.05</v>
      </c>
      <c r="AO284" s="77">
        <v>3.17</v>
      </c>
      <c r="AP284" s="77">
        <v>0.08</v>
      </c>
      <c r="AQ284" s="77">
        <v>0</v>
      </c>
      <c r="AR284" s="77" t="s">
        <v>132</v>
      </c>
      <c r="AS284" s="87">
        <v>0</v>
      </c>
      <c r="AT284" s="59">
        <f t="shared" si="290"/>
        <v>11.37</v>
      </c>
      <c r="AU284" s="59">
        <f t="shared" si="291"/>
        <v>0</v>
      </c>
      <c r="AV284" s="72">
        <f>IF(C284="",0,(0.5*(_ML1*LPM)+0.5*(_ML1*HB)+0.66*(P*PR)+0.66*(_ML2*RDM)+0.66*(E*ER))*VLOOKUP(BATT,'Look Ups'!$N$3:$O$4,2,0))</f>
        <v>23.765735999999997</v>
      </c>
      <c r="AW284" s="182"/>
      <c r="AX284" s="183"/>
      <c r="AY284" s="80">
        <v>12.79</v>
      </c>
      <c r="AZ284" s="77">
        <v>5.72</v>
      </c>
      <c r="BA284" s="77">
        <v>5.47</v>
      </c>
      <c r="BB284" s="77">
        <v>0.08</v>
      </c>
      <c r="BC284" s="77">
        <v>11.93</v>
      </c>
      <c r="BD284" s="77"/>
      <c r="BE284" s="77"/>
      <c r="BF284" s="77">
        <v>-0.24</v>
      </c>
      <c r="BG284" s="77">
        <v>-0.03</v>
      </c>
      <c r="BH284" s="87"/>
      <c r="BI284" s="72">
        <f t="shared" si="292"/>
        <v>34.725261999999987</v>
      </c>
      <c r="BJ284" s="76"/>
      <c r="BK284" s="77"/>
      <c r="BL284" s="78"/>
      <c r="BM284" s="78"/>
      <c r="BN284" s="77"/>
      <c r="BO284" s="78"/>
      <c r="BP284" s="78"/>
      <c r="BQ284" s="79">
        <f t="shared" si="293"/>
        <v>0</v>
      </c>
      <c r="BR284" s="80"/>
      <c r="BS284" s="77"/>
      <c r="BT284" s="77"/>
      <c r="BU284" s="77"/>
      <c r="BV284" s="77"/>
      <c r="BW284" s="77"/>
      <c r="BX284" s="77"/>
      <c r="BY284" s="72">
        <f t="shared" si="294"/>
        <v>0</v>
      </c>
      <c r="BZ284" s="182">
        <v>8.86</v>
      </c>
      <c r="CA284" s="77">
        <v>12.86</v>
      </c>
      <c r="CB284" s="77">
        <v>12.8</v>
      </c>
      <c r="CC284" s="77">
        <v>7.88</v>
      </c>
      <c r="CD284" s="65">
        <f t="shared" si="295"/>
        <v>88.939051918735899</v>
      </c>
      <c r="CE284" s="77">
        <v>0</v>
      </c>
      <c r="CF284" s="79">
        <f t="shared" si="296"/>
        <v>86.3459</v>
      </c>
      <c r="CG284" s="80"/>
      <c r="CH284" s="77"/>
      <c r="CI284" s="77"/>
      <c r="CJ284" s="77"/>
      <c r="CK284" s="59" t="str">
        <f t="shared" si="311"/>
        <v/>
      </c>
      <c r="CL284" s="77">
        <v>0</v>
      </c>
      <c r="CM284" s="72">
        <f t="shared" si="297"/>
        <v>0</v>
      </c>
      <c r="CN284" s="81">
        <f t="shared" si="298"/>
        <v>1</v>
      </c>
      <c r="CO284" s="59">
        <f t="shared" si="299"/>
        <v>23.765735999999997</v>
      </c>
      <c r="CP284" s="59">
        <f t="shared" si="300"/>
        <v>1</v>
      </c>
      <c r="CQ284" s="59">
        <f t="shared" si="301"/>
        <v>34.725261999999987</v>
      </c>
      <c r="CR284" s="59">
        <f>IF(AV284&gt;0,'Look Ups'!$L$3,0)</f>
        <v>1</v>
      </c>
      <c r="CS284" s="59">
        <f t="shared" si="302"/>
        <v>0</v>
      </c>
      <c r="CT284" s="59">
        <f t="shared" si="312"/>
        <v>0</v>
      </c>
      <c r="CU284" s="59">
        <f t="shared" si="313"/>
        <v>0</v>
      </c>
      <c r="CV284" s="79">
        <f t="shared" si="314"/>
        <v>0</v>
      </c>
      <c r="CW284" s="82" t="str">
        <f t="shared" si="303"/>
        <v>-</v>
      </c>
      <c r="CX284" s="65" t="str">
        <f t="shared" si="304"/>
        <v>valid</v>
      </c>
      <c r="CY284" s="66" t="str">
        <f t="shared" si="318"/>
        <v>MGSp</v>
      </c>
      <c r="CZ284" s="81">
        <f t="shared" si="305"/>
        <v>58.490997999999983</v>
      </c>
      <c r="DA284" s="59">
        <f t="shared" si="306"/>
        <v>15.486191400000003</v>
      </c>
      <c r="DB284" s="59">
        <f t="shared" si="307"/>
        <v>0</v>
      </c>
      <c r="DC284" s="59">
        <f t="shared" si="308"/>
        <v>15.228088210000003</v>
      </c>
      <c r="DD284" s="59">
        <f t="shared" si="309"/>
        <v>0</v>
      </c>
      <c r="DE284" s="79">
        <f t="shared" si="310"/>
        <v>57.307369191999982</v>
      </c>
      <c r="DF284" s="83">
        <f t="shared" si="285"/>
        <v>73.977189399999986</v>
      </c>
    </row>
    <row r="285" spans="2:255" ht="16.5" customHeight="1" x14ac:dyDescent="0.25">
      <c r="B285" s="168"/>
      <c r="C285" s="168" t="s">
        <v>781</v>
      </c>
      <c r="D285" s="169" t="s">
        <v>782</v>
      </c>
      <c r="E285" s="170" t="s">
        <v>783</v>
      </c>
      <c r="F285" s="50">
        <f t="shared" si="315"/>
        <v>0.84688390345420295</v>
      </c>
      <c r="G285" s="50" t="str">
        <f t="shared" ca="1" si="316"/>
        <v>No</v>
      </c>
      <c r="H285" s="51" t="str">
        <f t="shared" si="317"/>
        <v>Main - Genoa - Spinnaker</v>
      </c>
      <c r="I285" s="171">
        <v>38404</v>
      </c>
      <c r="J285" s="171">
        <v>40057</v>
      </c>
      <c r="K285" s="172" t="s">
        <v>218</v>
      </c>
      <c r="L285" s="172" t="s">
        <v>387</v>
      </c>
      <c r="M285" s="171"/>
      <c r="N285" s="173" t="s">
        <v>149</v>
      </c>
      <c r="O285" s="173"/>
      <c r="P285" s="186"/>
      <c r="Q285" s="175">
        <v>10.66</v>
      </c>
      <c r="R285" s="78"/>
      <c r="S285" s="59">
        <f t="shared" si="286"/>
        <v>0.26650000000000001</v>
      </c>
      <c r="T285" s="176">
        <v>0.54</v>
      </c>
      <c r="U285" s="176">
        <v>0</v>
      </c>
      <c r="V285" s="61">
        <f t="shared" si="287"/>
        <v>10.120000000000001</v>
      </c>
      <c r="W285" s="62">
        <f>IF(RL&gt;0,IF(RL&gt;'Look Ups'!R$7,'Look Ups'!R$8,('Look Ups'!R$3*RL^3+'Look Ups'!R$4*RL^2+'Look Ups'!R$5*RL+'Look Ups'!R$6)),0)</f>
        <v>0.29866215302400001</v>
      </c>
      <c r="X285" s="177">
        <v>2802</v>
      </c>
      <c r="Y285" s="178"/>
      <c r="Z285" s="178"/>
      <c r="AA285" s="178"/>
      <c r="AB285" s="65">
        <f t="shared" si="288"/>
        <v>2802</v>
      </c>
      <c r="AC285" s="66">
        <f t="shared" si="289"/>
        <v>2802</v>
      </c>
      <c r="AD285" s="179" t="s">
        <v>129</v>
      </c>
      <c r="AE285" s="180" t="s">
        <v>130</v>
      </c>
      <c r="AF285" s="181" t="s">
        <v>131</v>
      </c>
      <c r="AG285" s="70">
        <f>IF(C285="",0,VLOOKUP(AD285,'Look Ups'!$B$3:$C$6,2,0)*VLOOKUP(AE285,'Look Ups'!$E$3:$F$5,2,0)*VLOOKUP(AF285,'Look Ups'!$H$3:$I$7,2,0))</f>
        <v>1</v>
      </c>
      <c r="AH285" s="80">
        <v>12.81</v>
      </c>
      <c r="AI285" s="77">
        <v>12.48</v>
      </c>
      <c r="AJ285" s="77">
        <v>3.96</v>
      </c>
      <c r="AK285" s="77">
        <v>1.32</v>
      </c>
      <c r="AL285" s="77">
        <v>0.65</v>
      </c>
      <c r="AM285" s="77">
        <v>12.3</v>
      </c>
      <c r="AN285" s="77">
        <v>0.19</v>
      </c>
      <c r="AO285" s="77">
        <v>4.1399999999999997</v>
      </c>
      <c r="AP285" s="77">
        <v>0.05</v>
      </c>
      <c r="AQ285" s="77">
        <v>0.54</v>
      </c>
      <c r="AR285" s="77" t="s">
        <v>132</v>
      </c>
      <c r="AS285" s="87"/>
      <c r="AT285" s="59">
        <f t="shared" si="290"/>
        <v>12.350000000000001</v>
      </c>
      <c r="AU285" s="59">
        <f t="shared" si="291"/>
        <v>2.4907500000000007</v>
      </c>
      <c r="AV285" s="72">
        <f>IF(C285="",0,(0.5*(_ML1*LPM)+0.5*(_ML1*HB)+0.66*(P*PR)+0.66*(_ML2*RDM)+0.66*(E*ER))*VLOOKUP(BATT,'Look Ups'!$N$3:$O$4,2,0))</f>
        <v>40.851360000000007</v>
      </c>
      <c r="AW285" s="182"/>
      <c r="AX285" s="183"/>
      <c r="AY285" s="80">
        <v>11.02</v>
      </c>
      <c r="AZ285" s="77">
        <v>4.63</v>
      </c>
      <c r="BA285" s="77">
        <v>5.0999999999999996</v>
      </c>
      <c r="BB285" s="77">
        <v>0.26</v>
      </c>
      <c r="BC285" s="77">
        <v>9.77</v>
      </c>
      <c r="BD285" s="77"/>
      <c r="BE285" s="77"/>
      <c r="BF285" s="77">
        <v>-0.13</v>
      </c>
      <c r="BG285" s="77">
        <v>0.09</v>
      </c>
      <c r="BH285" s="87"/>
      <c r="BI285" s="72">
        <f t="shared" si="292"/>
        <v>26.202781999999999</v>
      </c>
      <c r="BJ285" s="76"/>
      <c r="BK285" s="77"/>
      <c r="BL285" s="78"/>
      <c r="BM285" s="78"/>
      <c r="BN285" s="77"/>
      <c r="BO285" s="78"/>
      <c r="BP285" s="78"/>
      <c r="BQ285" s="79">
        <f t="shared" si="293"/>
        <v>0</v>
      </c>
      <c r="BR285" s="80"/>
      <c r="BS285" s="77"/>
      <c r="BT285" s="77"/>
      <c r="BU285" s="77"/>
      <c r="BV285" s="77"/>
      <c r="BW285" s="77"/>
      <c r="BX285" s="77"/>
      <c r="BY285" s="72">
        <f t="shared" si="294"/>
        <v>0</v>
      </c>
      <c r="BZ285" s="182">
        <v>8.09</v>
      </c>
      <c r="CA285" s="77">
        <v>15.33</v>
      </c>
      <c r="CB285" s="77">
        <v>12.49</v>
      </c>
      <c r="CC285" s="77">
        <v>7.76</v>
      </c>
      <c r="CD285" s="65">
        <f t="shared" si="295"/>
        <v>95.920889987639057</v>
      </c>
      <c r="CE285" s="77"/>
      <c r="CF285" s="79">
        <f t="shared" si="296"/>
        <v>90.716383333333326</v>
      </c>
      <c r="CG285" s="80"/>
      <c r="CH285" s="77"/>
      <c r="CI285" s="77"/>
      <c r="CJ285" s="77"/>
      <c r="CK285" s="59" t="str">
        <f t="shared" si="311"/>
        <v/>
      </c>
      <c r="CL285" s="77"/>
      <c r="CM285" s="72">
        <f t="shared" si="297"/>
        <v>0</v>
      </c>
      <c r="CN285" s="81">
        <f t="shared" si="298"/>
        <v>1</v>
      </c>
      <c r="CO285" s="59">
        <f t="shared" si="299"/>
        <v>43.342110000000005</v>
      </c>
      <c r="CP285" s="59">
        <f t="shared" si="300"/>
        <v>1</v>
      </c>
      <c r="CQ285" s="59">
        <f t="shared" si="301"/>
        <v>26.202781999999999</v>
      </c>
      <c r="CR285" s="59">
        <f>IF(AV285&gt;0,'Look Ups'!$L$3,0)</f>
        <v>1</v>
      </c>
      <c r="CS285" s="59">
        <f t="shared" si="302"/>
        <v>0</v>
      </c>
      <c r="CT285" s="59">
        <f t="shared" si="312"/>
        <v>0</v>
      </c>
      <c r="CU285" s="59">
        <f t="shared" si="313"/>
        <v>0</v>
      </c>
      <c r="CV285" s="79">
        <f t="shared" si="314"/>
        <v>0</v>
      </c>
      <c r="CW285" s="82" t="str">
        <f t="shared" si="303"/>
        <v>-</v>
      </c>
      <c r="CX285" s="65" t="str">
        <f t="shared" si="304"/>
        <v>valid</v>
      </c>
      <c r="CY285" s="66" t="str">
        <f t="shared" si="318"/>
        <v>MGSp</v>
      </c>
      <c r="CZ285" s="81">
        <f t="shared" si="305"/>
        <v>69.544892000000004</v>
      </c>
      <c r="DA285" s="59">
        <f t="shared" si="306"/>
        <v>19.354080399999997</v>
      </c>
      <c r="DB285" s="59">
        <f t="shared" si="307"/>
        <v>0</v>
      </c>
      <c r="DC285" s="59">
        <f t="shared" si="308"/>
        <v>19.03151239333333</v>
      </c>
      <c r="DD285" s="59">
        <f t="shared" si="309"/>
        <v>0</v>
      </c>
      <c r="DE285" s="79">
        <f t="shared" si="310"/>
        <v>71.395939424000005</v>
      </c>
      <c r="DF285" s="83">
        <f t="shared" si="285"/>
        <v>88.898972400000005</v>
      </c>
    </row>
    <row r="286" spans="2:255" s="209" customFormat="1" ht="16.5" customHeight="1" x14ac:dyDescent="0.25">
      <c r="B286" s="168"/>
      <c r="C286" s="47" t="s">
        <v>479</v>
      </c>
      <c r="D286" s="84" t="s">
        <v>177</v>
      </c>
      <c r="E286" s="49" t="s">
        <v>480</v>
      </c>
      <c r="F286" s="50">
        <f t="shared" si="315"/>
        <v>0.75420119853442857</v>
      </c>
      <c r="G286" s="50" t="str">
        <f t="shared" ca="1" si="316"/>
        <v>No</v>
      </c>
      <c r="H286" s="51" t="str">
        <f t="shared" si="317"/>
        <v>Main - Genoa - Spinnaker</v>
      </c>
      <c r="I286" s="52">
        <v>40504</v>
      </c>
      <c r="J286" s="52">
        <v>40504</v>
      </c>
      <c r="K286" s="53" t="s">
        <v>179</v>
      </c>
      <c r="L286" s="53" t="s">
        <v>180</v>
      </c>
      <c r="M286" s="54"/>
      <c r="N286" s="75" t="s">
        <v>149</v>
      </c>
      <c r="O286" s="75" t="s">
        <v>138</v>
      </c>
      <c r="P286" s="85"/>
      <c r="Q286" s="57">
        <v>5.92</v>
      </c>
      <c r="R286" s="58"/>
      <c r="S286" s="59">
        <f t="shared" si="286"/>
        <v>0.14799999999999999</v>
      </c>
      <c r="T286" s="60">
        <v>0.43</v>
      </c>
      <c r="U286" s="60">
        <v>0</v>
      </c>
      <c r="V286" s="61">
        <f t="shared" si="287"/>
        <v>5.49</v>
      </c>
      <c r="W286" s="62">
        <f>IF(RL&gt;0,IF(RL&gt;'Look Ups'!R$7,'Look Ups'!R$8,('Look Ups'!R$3*RL^3+'Look Ups'!R$4*RL^2+'Look Ups'!R$5*RL+'Look Ups'!R$6)),0)</f>
        <v>0.28081934191699998</v>
      </c>
      <c r="X286" s="63">
        <v>460</v>
      </c>
      <c r="Y286" s="64"/>
      <c r="Z286" s="64"/>
      <c r="AA286" s="64"/>
      <c r="AB286" s="65">
        <f t="shared" si="288"/>
        <v>460</v>
      </c>
      <c r="AC286" s="66">
        <f t="shared" si="289"/>
        <v>460</v>
      </c>
      <c r="AD286" s="67" t="s">
        <v>129</v>
      </c>
      <c r="AE286" s="68" t="s">
        <v>130</v>
      </c>
      <c r="AF286" s="69" t="s">
        <v>131</v>
      </c>
      <c r="AG286" s="70">
        <f>IF(C286="",0,VLOOKUP(AD286,'Look Ups'!$B$3:$C$6,2,0)*VLOOKUP(AE286,'Look Ups'!$E$3:$F$5,2,0)*VLOOKUP(AF286,'Look Ups'!$H$3:$I$7,2,0))</f>
        <v>1</v>
      </c>
      <c r="AH286" s="71">
        <v>8</v>
      </c>
      <c r="AI286" s="60">
        <v>7.96</v>
      </c>
      <c r="AJ286" s="60">
        <v>2.5</v>
      </c>
      <c r="AK286" s="60">
        <v>0.115</v>
      </c>
      <c r="AL286" s="60">
        <v>0.73499999999999999</v>
      </c>
      <c r="AM286" s="60">
        <v>7.8</v>
      </c>
      <c r="AN286" s="60">
        <v>6.3E-2</v>
      </c>
      <c r="AO286" s="60">
        <v>2.56</v>
      </c>
      <c r="AP286" s="60">
        <v>6.5000000000000002E-2</v>
      </c>
      <c r="AQ286" s="60">
        <v>0.33</v>
      </c>
      <c r="AR286" s="60" t="s">
        <v>132</v>
      </c>
      <c r="AS286" s="75">
        <v>0</v>
      </c>
      <c r="AT286" s="59">
        <f t="shared" si="290"/>
        <v>7.8650000000000002</v>
      </c>
      <c r="AU286" s="59">
        <f t="shared" si="291"/>
        <v>0.96524999999999994</v>
      </c>
      <c r="AV286" s="72">
        <f>IF(C286="",0,(0.5*(_ML1*LPM)+0.5*(_ML1*HB)+0.66*(P*PR)+0.66*(_ML2*RDM)+0.66*(E*ER))*VLOOKUP(BATT,'Look Ups'!$N$3:$O$4,2,0))</f>
        <v>14.755544</v>
      </c>
      <c r="AW286" s="73"/>
      <c r="AX286" s="74"/>
      <c r="AY286" s="71">
        <v>6.13</v>
      </c>
      <c r="AZ286" s="60">
        <v>1.895</v>
      </c>
      <c r="BA286" s="60">
        <v>1.92</v>
      </c>
      <c r="BB286" s="60">
        <v>0.105</v>
      </c>
      <c r="BC286" s="60">
        <v>5.88</v>
      </c>
      <c r="BD286" s="60"/>
      <c r="BE286" s="60"/>
      <c r="BF286" s="60">
        <v>0.04</v>
      </c>
      <c r="BG286" s="60">
        <v>3.5000000000000003E-2</v>
      </c>
      <c r="BH286" s="75">
        <v>0</v>
      </c>
      <c r="BI286" s="72">
        <f t="shared" si="292"/>
        <v>6.2380659999999999</v>
      </c>
      <c r="BJ286" s="76"/>
      <c r="BK286" s="77"/>
      <c r="BL286" s="78"/>
      <c r="BM286" s="78"/>
      <c r="BN286" s="77"/>
      <c r="BO286" s="78"/>
      <c r="BP286" s="78"/>
      <c r="BQ286" s="79">
        <f t="shared" si="293"/>
        <v>0</v>
      </c>
      <c r="BR286" s="80"/>
      <c r="BS286" s="77"/>
      <c r="BT286" s="77"/>
      <c r="BU286" s="77"/>
      <c r="BV286" s="77"/>
      <c r="BW286" s="77"/>
      <c r="BX286" s="77"/>
      <c r="BY286" s="72">
        <f t="shared" si="294"/>
        <v>0</v>
      </c>
      <c r="BZ286" s="73">
        <v>3.8650000000000002</v>
      </c>
      <c r="CA286" s="60">
        <v>7.5149999999999997</v>
      </c>
      <c r="CB286" s="60">
        <v>7.06</v>
      </c>
      <c r="CC286" s="60">
        <v>3.165</v>
      </c>
      <c r="CD286" s="65">
        <f t="shared" si="295"/>
        <v>81.888745148771008</v>
      </c>
      <c r="CE286" s="75">
        <v>0</v>
      </c>
      <c r="CF286" s="79">
        <f t="shared" si="296"/>
        <v>20.070989583333333</v>
      </c>
      <c r="CG286" s="71"/>
      <c r="CH286" s="60"/>
      <c r="CI286" s="60"/>
      <c r="CJ286" s="60"/>
      <c r="CK286" s="59" t="str">
        <f t="shared" si="311"/>
        <v/>
      </c>
      <c r="CL286" s="75">
        <v>0</v>
      </c>
      <c r="CM286" s="72">
        <f t="shared" si="297"/>
        <v>0</v>
      </c>
      <c r="CN286" s="81">
        <f t="shared" si="298"/>
        <v>1</v>
      </c>
      <c r="CO286" s="59">
        <f t="shared" si="299"/>
        <v>15.720794</v>
      </c>
      <c r="CP286" s="59">
        <f t="shared" si="300"/>
        <v>1</v>
      </c>
      <c r="CQ286" s="59">
        <f t="shared" si="301"/>
        <v>6.2380659999999999</v>
      </c>
      <c r="CR286" s="59">
        <f>IF(AV286&gt;0,'Look Ups'!$L$3,0)</f>
        <v>1</v>
      </c>
      <c r="CS286" s="59">
        <f t="shared" si="302"/>
        <v>0</v>
      </c>
      <c r="CT286" s="59">
        <f t="shared" si="312"/>
        <v>0</v>
      </c>
      <c r="CU286" s="59">
        <f t="shared" si="313"/>
        <v>0</v>
      </c>
      <c r="CV286" s="79">
        <f t="shared" si="314"/>
        <v>0</v>
      </c>
      <c r="CW286" s="82" t="str">
        <f t="shared" si="303"/>
        <v>-</v>
      </c>
      <c r="CX286" s="65" t="str">
        <f t="shared" si="304"/>
        <v>valid</v>
      </c>
      <c r="CY286" s="66" t="str">
        <f t="shared" si="318"/>
        <v>MGSp</v>
      </c>
      <c r="CZ286" s="81">
        <f t="shared" si="305"/>
        <v>21.958860000000001</v>
      </c>
      <c r="DA286" s="59">
        <f t="shared" si="306"/>
        <v>4.149877075</v>
      </c>
      <c r="DB286" s="59">
        <f t="shared" si="307"/>
        <v>0</v>
      </c>
      <c r="DC286" s="59">
        <f t="shared" si="308"/>
        <v>4.0807124570833331</v>
      </c>
      <c r="DD286" s="59">
        <f t="shared" si="309"/>
        <v>0</v>
      </c>
      <c r="DE286" s="79">
        <f t="shared" si="310"/>
        <v>22.982994624</v>
      </c>
      <c r="DF286" s="83">
        <f t="shared" si="285"/>
        <v>26.108737075000001</v>
      </c>
      <c r="DG286" s="365"/>
      <c r="DH286" s="286"/>
      <c r="DI286" s="286"/>
      <c r="DJ286" s="286"/>
      <c r="DK286" s="286"/>
      <c r="DL286" s="286"/>
      <c r="DM286" s="286"/>
      <c r="DN286" s="286"/>
      <c r="DO286" s="286"/>
      <c r="DP286" s="286"/>
      <c r="DQ286" s="286"/>
      <c r="DR286" s="286"/>
      <c r="DS286" s="286"/>
      <c r="DT286" s="286"/>
      <c r="DU286" s="286"/>
      <c r="DV286" s="286"/>
      <c r="DW286" s="286"/>
      <c r="DX286" s="286"/>
      <c r="DY286" s="286"/>
      <c r="DZ286" s="286"/>
      <c r="EA286" s="286"/>
      <c r="EB286" s="286"/>
      <c r="EC286" s="286"/>
      <c r="ED286" s="286"/>
      <c r="EE286" s="286"/>
      <c r="EF286" s="286"/>
      <c r="EG286" s="286"/>
      <c r="EH286" s="286"/>
      <c r="EI286" s="286"/>
      <c r="EJ286" s="286"/>
      <c r="EK286" s="286"/>
      <c r="EL286" s="286"/>
      <c r="EM286" s="286"/>
      <c r="EN286" s="286"/>
      <c r="EO286" s="286"/>
      <c r="EP286" s="286"/>
      <c r="EQ286" s="286"/>
      <c r="ER286" s="286"/>
      <c r="ES286" s="286"/>
      <c r="ET286" s="286"/>
      <c r="EU286" s="286"/>
      <c r="EV286" s="286"/>
      <c r="EW286" s="365"/>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2:255" ht="16.5" customHeight="1" x14ac:dyDescent="0.25">
      <c r="B287" s="47"/>
      <c r="C287" s="168" t="s">
        <v>784</v>
      </c>
      <c r="D287" s="169" t="s">
        <v>785</v>
      </c>
      <c r="E287" s="170" t="s">
        <v>786</v>
      </c>
      <c r="F287" s="50">
        <f t="shared" si="315"/>
        <v>0.76694815685934203</v>
      </c>
      <c r="G287" s="50" t="str">
        <f t="shared" ca="1" si="316"/>
        <v>No</v>
      </c>
      <c r="H287" s="51" t="str">
        <f t="shared" si="317"/>
        <v>Main - Genoa - Spinnaker</v>
      </c>
      <c r="I287" s="171">
        <v>37878</v>
      </c>
      <c r="J287" s="171"/>
      <c r="K287" s="172" t="s">
        <v>224</v>
      </c>
      <c r="L287" s="172" t="s">
        <v>387</v>
      </c>
      <c r="M287" s="171"/>
      <c r="N287" s="173" t="s">
        <v>537</v>
      </c>
      <c r="O287" s="173"/>
      <c r="P287" s="186">
        <v>5.7</v>
      </c>
      <c r="Q287" s="175">
        <v>7.97</v>
      </c>
      <c r="R287" s="78"/>
      <c r="S287" s="59">
        <f t="shared" si="286"/>
        <v>0.19925000000000001</v>
      </c>
      <c r="T287" s="176">
        <v>0.15</v>
      </c>
      <c r="U287" s="176">
        <v>0</v>
      </c>
      <c r="V287" s="61">
        <f t="shared" si="287"/>
        <v>7.8199999999999994</v>
      </c>
      <c r="W287" s="62">
        <f>IF(RL&gt;0,IF(RL&gt;'Look Ups'!R$7,'Look Ups'!R$8,('Look Ups'!R$3*RL^3+'Look Ups'!R$4*RL^2+'Look Ups'!R$5*RL+'Look Ups'!R$6)),0)</f>
        <v>0.293157628344</v>
      </c>
      <c r="X287" s="177">
        <v>1365</v>
      </c>
      <c r="Y287" s="178"/>
      <c r="Z287" s="178"/>
      <c r="AA287" s="178"/>
      <c r="AB287" s="65">
        <f t="shared" si="288"/>
        <v>1365</v>
      </c>
      <c r="AC287" s="66">
        <f t="shared" si="289"/>
        <v>1365</v>
      </c>
      <c r="AD287" s="179" t="s">
        <v>129</v>
      </c>
      <c r="AE287" s="180" t="s">
        <v>130</v>
      </c>
      <c r="AF287" s="181" t="s">
        <v>131</v>
      </c>
      <c r="AG287" s="70">
        <f>IF(C287="",0,VLOOKUP(AD287,'Look Ups'!$B$3:$C$6,2,0)*VLOOKUP(AE287,'Look Ups'!$E$3:$F$5,2,0)*VLOOKUP(AF287,'Look Ups'!$H$3:$I$7,2,0))</f>
        <v>1</v>
      </c>
      <c r="AH287" s="80">
        <v>9.3699999999999992</v>
      </c>
      <c r="AI287" s="77">
        <v>9.15</v>
      </c>
      <c r="AJ287" s="77">
        <v>3.26</v>
      </c>
      <c r="AK287" s="77">
        <v>0.61</v>
      </c>
      <c r="AL287" s="77">
        <v>0.76</v>
      </c>
      <c r="AM287" s="77">
        <v>9.02</v>
      </c>
      <c r="AN287" s="77">
        <v>0.115</v>
      </c>
      <c r="AO287" s="77">
        <v>3.43</v>
      </c>
      <c r="AP287" s="77">
        <v>7.0000000000000007E-2</v>
      </c>
      <c r="AQ287" s="77">
        <v>0.46</v>
      </c>
      <c r="AR287" s="77" t="s">
        <v>132</v>
      </c>
      <c r="AS287" s="87">
        <v>0</v>
      </c>
      <c r="AT287" s="59">
        <f t="shared" si="290"/>
        <v>9.09</v>
      </c>
      <c r="AU287" s="59">
        <f t="shared" si="291"/>
        <v>1.5559499999999999</v>
      </c>
      <c r="AV287" s="72">
        <f>IF(C287="",0,(0.5*(_ML1*LPM)+0.5*(_ML1*HB)+0.66*(P*PR)+0.66*(_ML2*RDM)+0.66*(E*ER))*VLOOKUP(BATT,'Look Ups'!$N$3:$O$4,2,0))</f>
        <v>23.563674000000002</v>
      </c>
      <c r="AW287" s="182"/>
      <c r="AX287" s="183"/>
      <c r="AY287" s="80">
        <v>8.66</v>
      </c>
      <c r="AZ287" s="77">
        <v>3.3</v>
      </c>
      <c r="BA287" s="77">
        <v>3.78</v>
      </c>
      <c r="BB287" s="77">
        <v>0.05</v>
      </c>
      <c r="BC287" s="77">
        <v>7.62</v>
      </c>
      <c r="BD287" s="77"/>
      <c r="BE287" s="77"/>
      <c r="BF287" s="77">
        <v>6.5000000000000002E-2</v>
      </c>
      <c r="BG287" s="77">
        <v>0.02</v>
      </c>
      <c r="BH287" s="87"/>
      <c r="BI287" s="72">
        <f t="shared" si="292"/>
        <v>14.854949999999999</v>
      </c>
      <c r="BJ287" s="76"/>
      <c r="BK287" s="77"/>
      <c r="BL287" s="78"/>
      <c r="BM287" s="78"/>
      <c r="BN287" s="77"/>
      <c r="BO287" s="78"/>
      <c r="BP287" s="78"/>
      <c r="BQ287" s="79">
        <f t="shared" si="293"/>
        <v>0</v>
      </c>
      <c r="BR287" s="80"/>
      <c r="BS287" s="77"/>
      <c r="BT287" s="77"/>
      <c r="BU287" s="77"/>
      <c r="BV287" s="77"/>
      <c r="BW287" s="77"/>
      <c r="BX287" s="77"/>
      <c r="BY287" s="72">
        <f t="shared" si="294"/>
        <v>0</v>
      </c>
      <c r="BZ287" s="182">
        <v>6.42</v>
      </c>
      <c r="CA287" s="77">
        <v>10.23</v>
      </c>
      <c r="CB287" s="77">
        <v>8.4600000000000009</v>
      </c>
      <c r="CC287" s="77">
        <v>5.2</v>
      </c>
      <c r="CD287" s="65">
        <f t="shared" si="295"/>
        <v>80.996884735202499</v>
      </c>
      <c r="CE287" s="77">
        <v>0</v>
      </c>
      <c r="CF287" s="79">
        <f t="shared" si="296"/>
        <v>42.395150000000001</v>
      </c>
      <c r="CG287" s="80"/>
      <c r="CH287" s="77"/>
      <c r="CI287" s="77"/>
      <c r="CJ287" s="77"/>
      <c r="CK287" s="59" t="str">
        <f t="shared" si="311"/>
        <v/>
      </c>
      <c r="CL287" s="77">
        <v>0</v>
      </c>
      <c r="CM287" s="72">
        <f t="shared" si="297"/>
        <v>0</v>
      </c>
      <c r="CN287" s="81">
        <f t="shared" si="298"/>
        <v>1</v>
      </c>
      <c r="CO287" s="59">
        <f t="shared" si="299"/>
        <v>25.119624000000002</v>
      </c>
      <c r="CP287" s="59">
        <f t="shared" si="300"/>
        <v>1</v>
      </c>
      <c r="CQ287" s="59">
        <f t="shared" si="301"/>
        <v>14.854949999999999</v>
      </c>
      <c r="CR287" s="59">
        <f>IF(AV287&gt;0,'Look Ups'!$L$3,0)</f>
        <v>1</v>
      </c>
      <c r="CS287" s="59">
        <f t="shared" si="302"/>
        <v>0</v>
      </c>
      <c r="CT287" s="59">
        <f t="shared" si="312"/>
        <v>0</v>
      </c>
      <c r="CU287" s="59">
        <f t="shared" si="313"/>
        <v>0</v>
      </c>
      <c r="CV287" s="79">
        <f t="shared" si="314"/>
        <v>0</v>
      </c>
      <c r="CW287" s="82" t="str">
        <f t="shared" si="303"/>
        <v>-</v>
      </c>
      <c r="CX287" s="65" t="str">
        <f t="shared" si="304"/>
        <v>valid</v>
      </c>
      <c r="CY287" s="66" t="str">
        <f t="shared" si="318"/>
        <v>MGSp</v>
      </c>
      <c r="CZ287" s="81">
        <f t="shared" si="305"/>
        <v>39.974574000000004</v>
      </c>
      <c r="DA287" s="59">
        <f t="shared" si="306"/>
        <v>8.26206</v>
      </c>
      <c r="DB287" s="59">
        <f t="shared" si="307"/>
        <v>0</v>
      </c>
      <c r="DC287" s="59">
        <f t="shared" si="308"/>
        <v>8.1243590000000001</v>
      </c>
      <c r="DD287" s="59">
        <f t="shared" si="309"/>
        <v>0</v>
      </c>
      <c r="DE287" s="79">
        <f t="shared" si="310"/>
        <v>41.083158792000006</v>
      </c>
      <c r="DF287" s="83">
        <f t="shared" si="285"/>
        <v>48.236634000000002</v>
      </c>
    </row>
    <row r="288" spans="2:255" ht="16.5" customHeight="1" x14ac:dyDescent="0.25">
      <c r="B288" s="168"/>
      <c r="C288" s="168" t="s">
        <v>787</v>
      </c>
      <c r="D288" s="169" t="s">
        <v>763</v>
      </c>
      <c r="E288" s="170" t="s">
        <v>788</v>
      </c>
      <c r="F288" s="50">
        <f t="shared" si="315"/>
        <v>0.89741683694481889</v>
      </c>
      <c r="G288" s="50" t="str">
        <f t="shared" ca="1" si="316"/>
        <v>No</v>
      </c>
      <c r="H288" s="51" t="str">
        <f t="shared" si="317"/>
        <v>Main - Genoa - Spinnaker</v>
      </c>
      <c r="I288" s="171">
        <v>37829</v>
      </c>
      <c r="J288" s="171"/>
      <c r="K288" s="172" t="s">
        <v>764</v>
      </c>
      <c r="L288" s="172" t="s">
        <v>137</v>
      </c>
      <c r="M288" s="171"/>
      <c r="N288" s="87" t="s">
        <v>537</v>
      </c>
      <c r="O288" s="87"/>
      <c r="P288" s="186">
        <v>5.9</v>
      </c>
      <c r="Q288" s="175">
        <v>9.5</v>
      </c>
      <c r="R288" s="78"/>
      <c r="S288" s="59">
        <f t="shared" si="286"/>
        <v>0.23750000000000002</v>
      </c>
      <c r="T288" s="176">
        <v>0.01</v>
      </c>
      <c r="U288" s="176">
        <v>0</v>
      </c>
      <c r="V288" s="61">
        <f t="shared" si="287"/>
        <v>9.49</v>
      </c>
      <c r="W288" s="62">
        <f>IF(RL&gt;0,IF(RL&gt;'Look Ups'!R$7,'Look Ups'!R$8,('Look Ups'!R$3*RL^3+'Look Ups'!R$4*RL^2+'Look Ups'!R$5*RL+'Look Ups'!R$6)),0)</f>
        <v>0.297674981517</v>
      </c>
      <c r="X288" s="177">
        <v>1840</v>
      </c>
      <c r="Y288" s="315"/>
      <c r="Z288" s="337"/>
      <c r="AA288" s="337"/>
      <c r="AB288" s="290">
        <f t="shared" si="288"/>
        <v>1840</v>
      </c>
      <c r="AC288" s="66">
        <f t="shared" si="289"/>
        <v>1840</v>
      </c>
      <c r="AD288" s="179" t="s">
        <v>129</v>
      </c>
      <c r="AE288" s="180" t="s">
        <v>130</v>
      </c>
      <c r="AF288" s="181" t="s">
        <v>131</v>
      </c>
      <c r="AG288" s="70">
        <f>IF(C288="",0,VLOOKUP(AD288,'Look Ups'!$B$3:$C$6,2,0)*VLOOKUP(AE288,'Look Ups'!$E$3:$F$5,2,0)*VLOOKUP(AF288,'Look Ups'!$H$3:$I$7,2,0))</f>
        <v>1</v>
      </c>
      <c r="AH288" s="80">
        <v>11.28</v>
      </c>
      <c r="AI288" s="77">
        <v>10.92</v>
      </c>
      <c r="AJ288" s="77">
        <v>4.1399999999999997</v>
      </c>
      <c r="AK288" s="77">
        <v>1.6</v>
      </c>
      <c r="AL288" s="77">
        <v>0.33</v>
      </c>
      <c r="AM288" s="77">
        <v>10.56</v>
      </c>
      <c r="AN288" s="77">
        <v>7.4999999999999997E-2</v>
      </c>
      <c r="AO288" s="77">
        <v>4.4400000000000004</v>
      </c>
      <c r="AP288" s="77">
        <v>7.4999999999999997E-2</v>
      </c>
      <c r="AQ288" s="77">
        <v>0</v>
      </c>
      <c r="AR288" s="77" t="s">
        <v>132</v>
      </c>
      <c r="AS288" s="87">
        <v>0</v>
      </c>
      <c r="AT288" s="59">
        <f t="shared" si="290"/>
        <v>10.635</v>
      </c>
      <c r="AU288" s="59">
        <f t="shared" si="291"/>
        <v>0</v>
      </c>
      <c r="AV288" s="72">
        <f>IF(C288="",0,(0.5*(_ML1*LPM)+0.5*(_ML1*HB)+0.66*(P*PR)+0.66*(_ML2*RDM)+0.66*(E*ER))*VLOOKUP(BATT,'Look Ups'!$N$3:$O$4,2,0))</f>
        <v>35.494475999999999</v>
      </c>
      <c r="AW288" s="182"/>
      <c r="AX288" s="183"/>
      <c r="AY288" s="80">
        <v>10.4</v>
      </c>
      <c r="AZ288" s="77">
        <v>4.93</v>
      </c>
      <c r="BA288" s="77">
        <v>4.95</v>
      </c>
      <c r="BB288" s="77">
        <v>0.03</v>
      </c>
      <c r="BC288" s="77">
        <v>9.39</v>
      </c>
      <c r="BD288" s="77"/>
      <c r="BE288" s="77"/>
      <c r="BF288" s="77">
        <v>0.18</v>
      </c>
      <c r="BG288" s="77">
        <v>0</v>
      </c>
      <c r="BH288" s="87"/>
      <c r="BI288" s="72">
        <f t="shared" si="292"/>
        <v>26.849542</v>
      </c>
      <c r="BJ288" s="76"/>
      <c r="BK288" s="77"/>
      <c r="BL288" s="78"/>
      <c r="BM288" s="78"/>
      <c r="BN288" s="77"/>
      <c r="BO288" s="78"/>
      <c r="BP288" s="78"/>
      <c r="BQ288" s="79">
        <f t="shared" si="293"/>
        <v>0</v>
      </c>
      <c r="BR288" s="80"/>
      <c r="BS288" s="77"/>
      <c r="BT288" s="77"/>
      <c r="BU288" s="77"/>
      <c r="BV288" s="77"/>
      <c r="BW288" s="77"/>
      <c r="BX288" s="77"/>
      <c r="BY288" s="72">
        <f t="shared" si="294"/>
        <v>0</v>
      </c>
      <c r="BZ288" s="182">
        <v>7.83</v>
      </c>
      <c r="CA288" s="77">
        <v>13.42</v>
      </c>
      <c r="CB288" s="77">
        <v>11.47</v>
      </c>
      <c r="CC288" s="77">
        <v>7.18</v>
      </c>
      <c r="CD288" s="65">
        <f t="shared" si="295"/>
        <v>91.698595146871014</v>
      </c>
      <c r="CE288" s="77">
        <v>0</v>
      </c>
      <c r="CF288" s="79">
        <f t="shared" si="296"/>
        <v>75.81079166666666</v>
      </c>
      <c r="CG288" s="80"/>
      <c r="CH288" s="77"/>
      <c r="CI288" s="77"/>
      <c r="CJ288" s="77"/>
      <c r="CK288" s="59" t="str">
        <f t="shared" si="311"/>
        <v/>
      </c>
      <c r="CL288" s="77">
        <v>0</v>
      </c>
      <c r="CM288" s="72">
        <f t="shared" si="297"/>
        <v>0</v>
      </c>
      <c r="CN288" s="81">
        <f t="shared" si="298"/>
        <v>1</v>
      </c>
      <c r="CO288" s="59">
        <f t="shared" si="299"/>
        <v>35.494475999999999</v>
      </c>
      <c r="CP288" s="59">
        <f t="shared" si="300"/>
        <v>1</v>
      </c>
      <c r="CQ288" s="59">
        <f t="shared" si="301"/>
        <v>26.849542</v>
      </c>
      <c r="CR288" s="59">
        <f>IF(AV288&gt;0,'Look Ups'!$L$3,0)</f>
        <v>1</v>
      </c>
      <c r="CS288" s="59">
        <f t="shared" si="302"/>
        <v>0</v>
      </c>
      <c r="CT288" s="59">
        <f t="shared" si="312"/>
        <v>0</v>
      </c>
      <c r="CU288" s="59">
        <f t="shared" si="313"/>
        <v>0</v>
      </c>
      <c r="CV288" s="79">
        <f t="shared" si="314"/>
        <v>0</v>
      </c>
      <c r="CW288" s="82" t="str">
        <f t="shared" si="303"/>
        <v>-</v>
      </c>
      <c r="CX288" s="65" t="str">
        <f t="shared" si="304"/>
        <v>valid</v>
      </c>
      <c r="CY288" s="66" t="str">
        <f t="shared" si="318"/>
        <v>MGSp</v>
      </c>
      <c r="CZ288" s="81">
        <f t="shared" si="305"/>
        <v>62.344017999999998</v>
      </c>
      <c r="DA288" s="59">
        <f t="shared" si="306"/>
        <v>14.688374899999998</v>
      </c>
      <c r="DB288" s="59">
        <f t="shared" si="307"/>
        <v>0</v>
      </c>
      <c r="DC288" s="59">
        <f t="shared" si="308"/>
        <v>14.443568651666665</v>
      </c>
      <c r="DD288" s="59">
        <f t="shared" si="309"/>
        <v>0</v>
      </c>
      <c r="DE288" s="79">
        <f t="shared" si="310"/>
        <v>63.277670872000002</v>
      </c>
      <c r="DF288" s="83">
        <f t="shared" ref="DF288:DF318" si="319">IF(CY288="MG",DE288,IF(CY288="MGScr",RAMG+RASCO,IF(CY288="MGSp",RAMG+RASPO,IF(CY288="MGScrSp",RAMG+RASPSC+RASCR,0))))+RSAST+RSAD+RSAMZ+RSA2M</f>
        <v>77.032392899999991</v>
      </c>
    </row>
    <row r="289" spans="2:255" ht="16.5" customHeight="1" x14ac:dyDescent="0.25">
      <c r="B289" s="168"/>
      <c r="C289" s="168" t="s">
        <v>789</v>
      </c>
      <c r="D289" s="184" t="s">
        <v>790</v>
      </c>
      <c r="E289" s="353" t="s">
        <v>791</v>
      </c>
      <c r="F289" s="50">
        <f t="shared" si="315"/>
        <v>0.67212751550494099</v>
      </c>
      <c r="G289" s="50" t="str">
        <f t="shared" ca="1" si="316"/>
        <v>No</v>
      </c>
      <c r="H289" s="51" t="str">
        <f t="shared" si="317"/>
        <v>Main - Genoa - Spinnaker</v>
      </c>
      <c r="I289" s="171">
        <v>37988</v>
      </c>
      <c r="J289" s="171"/>
      <c r="K289" s="172" t="s">
        <v>587</v>
      </c>
      <c r="L289" s="172" t="s">
        <v>587</v>
      </c>
      <c r="M289" s="171"/>
      <c r="N289" s="173" t="s">
        <v>537</v>
      </c>
      <c r="O289" s="173"/>
      <c r="P289" s="185"/>
      <c r="Q289" s="175">
        <v>7.3</v>
      </c>
      <c r="R289" s="78"/>
      <c r="S289" s="59">
        <f t="shared" si="286"/>
        <v>0.1825</v>
      </c>
      <c r="T289" s="176">
        <v>0.42</v>
      </c>
      <c r="U289" s="176">
        <v>0</v>
      </c>
      <c r="V289" s="61">
        <f t="shared" si="287"/>
        <v>6.88</v>
      </c>
      <c r="W289" s="62">
        <f>IF(RL&gt;0,IF(RL&gt;'Look Ups'!R$7,'Look Ups'!R$8,('Look Ups'!R$3*RL^3+'Look Ups'!R$4*RL^2+'Look Ups'!R$5*RL+'Look Ups'!R$6)),0)</f>
        <v>0.28913864217600005</v>
      </c>
      <c r="X289" s="177">
        <v>1260</v>
      </c>
      <c r="Y289" s="178">
        <v>0</v>
      </c>
      <c r="Z289" s="178"/>
      <c r="AA289" s="178"/>
      <c r="AB289" s="65">
        <f t="shared" si="288"/>
        <v>1260</v>
      </c>
      <c r="AC289" s="66">
        <f t="shared" si="289"/>
        <v>1260</v>
      </c>
      <c r="AD289" s="179" t="s">
        <v>129</v>
      </c>
      <c r="AE289" s="180" t="s">
        <v>130</v>
      </c>
      <c r="AF289" s="181" t="s">
        <v>131</v>
      </c>
      <c r="AG289" s="70">
        <f>IF(C289="",0,VLOOKUP(AD289,'Look Ups'!$B$3:$C$6,2,0)*VLOOKUP(AE289,'Look Ups'!$E$3:$F$5,2,0)*VLOOKUP(AF289,'Look Ups'!$H$3:$I$7,2,0))</f>
        <v>1</v>
      </c>
      <c r="AH289" s="80">
        <v>8.8000000000000007</v>
      </c>
      <c r="AI289" s="77">
        <v>8.75</v>
      </c>
      <c r="AJ289" s="77">
        <v>3.23</v>
      </c>
      <c r="AK289" s="77">
        <v>0.2</v>
      </c>
      <c r="AL289" s="77">
        <v>0.57999999999999996</v>
      </c>
      <c r="AM289" s="77">
        <v>8.35</v>
      </c>
      <c r="AN289" s="77">
        <v>0.2</v>
      </c>
      <c r="AO289" s="77">
        <v>3.32</v>
      </c>
      <c r="AP289" s="77">
        <v>0.03</v>
      </c>
      <c r="AQ289" s="77">
        <v>0</v>
      </c>
      <c r="AR289" s="77" t="s">
        <v>132</v>
      </c>
      <c r="AS289" s="87">
        <v>0</v>
      </c>
      <c r="AT289" s="59">
        <f t="shared" si="290"/>
        <v>8.379999999999999</v>
      </c>
      <c r="AU289" s="59">
        <f t="shared" si="291"/>
        <v>0</v>
      </c>
      <c r="AV289" s="72">
        <f>IF(C289="",0,(0.5*(_ML1*LPM)+0.5*(_ML1*HB)+0.66*(P*PR)+0.66*(_ML2*RDM)+0.66*(E*ER))*VLOOKUP(BATT,'Look Ups'!$N$3:$O$4,2,0))</f>
        <v>19.609436000000002</v>
      </c>
      <c r="AW289" s="182"/>
      <c r="AX289" s="183"/>
      <c r="AY289" s="80">
        <v>8.0299999999999994</v>
      </c>
      <c r="AZ289" s="77">
        <v>2.2000000000000002</v>
      </c>
      <c r="BA289" s="77">
        <v>2.73</v>
      </c>
      <c r="BB289" s="77">
        <v>-0.13</v>
      </c>
      <c r="BC289" s="77">
        <v>6.86</v>
      </c>
      <c r="BD289" s="77"/>
      <c r="BE289" s="77"/>
      <c r="BF289" s="77">
        <v>-0.05</v>
      </c>
      <c r="BG289" s="77">
        <v>0.1</v>
      </c>
      <c r="BH289" s="87">
        <v>0</v>
      </c>
      <c r="BI289" s="72">
        <f t="shared" si="292"/>
        <v>8.9023659999999989</v>
      </c>
      <c r="BJ289" s="76"/>
      <c r="BK289" s="77"/>
      <c r="BL289" s="78"/>
      <c r="BM289" s="78"/>
      <c r="BN289" s="77"/>
      <c r="BO289" s="78"/>
      <c r="BP289" s="78"/>
      <c r="BQ289" s="79">
        <f t="shared" si="293"/>
        <v>0</v>
      </c>
      <c r="BR289" s="80"/>
      <c r="BS289" s="77"/>
      <c r="BT289" s="77"/>
      <c r="BU289" s="77"/>
      <c r="BV289" s="77"/>
      <c r="BW289" s="77"/>
      <c r="BX289" s="77"/>
      <c r="BY289" s="72">
        <f t="shared" si="294"/>
        <v>0</v>
      </c>
      <c r="BZ289" s="182">
        <v>4.9000000000000004</v>
      </c>
      <c r="CA289" s="77">
        <v>9.3800000000000008</v>
      </c>
      <c r="CB289" s="77">
        <v>9.3800000000000008</v>
      </c>
      <c r="CC289" s="77">
        <v>4.4000000000000004</v>
      </c>
      <c r="CD289" s="65">
        <f t="shared" si="295"/>
        <v>89.795918367346943</v>
      </c>
      <c r="CE289" s="87">
        <v>0</v>
      </c>
      <c r="CF289" s="79">
        <f t="shared" si="296"/>
        <v>35.175000000000011</v>
      </c>
      <c r="CG289" s="80"/>
      <c r="CH289" s="77"/>
      <c r="CI289" s="77"/>
      <c r="CJ289" s="77"/>
      <c r="CK289" s="59" t="str">
        <f t="shared" si="311"/>
        <v/>
      </c>
      <c r="CL289" s="87">
        <v>0</v>
      </c>
      <c r="CM289" s="72">
        <f t="shared" si="297"/>
        <v>0</v>
      </c>
      <c r="CN289" s="81">
        <f t="shared" si="298"/>
        <v>1</v>
      </c>
      <c r="CO289" s="59">
        <f t="shared" si="299"/>
        <v>19.609436000000002</v>
      </c>
      <c r="CP289" s="59">
        <f t="shared" si="300"/>
        <v>1</v>
      </c>
      <c r="CQ289" s="59">
        <f t="shared" si="301"/>
        <v>8.9023659999999989</v>
      </c>
      <c r="CR289" s="59">
        <f>IF(AV289&gt;0,'Look Ups'!$L$3,0)</f>
        <v>1</v>
      </c>
      <c r="CS289" s="59">
        <f t="shared" si="302"/>
        <v>0</v>
      </c>
      <c r="CT289" s="59">
        <f t="shared" si="312"/>
        <v>0</v>
      </c>
      <c r="CU289" s="59">
        <f t="shared" si="313"/>
        <v>0</v>
      </c>
      <c r="CV289" s="79">
        <f t="shared" si="314"/>
        <v>0</v>
      </c>
      <c r="CW289" s="82" t="str">
        <f t="shared" si="303"/>
        <v>-</v>
      </c>
      <c r="CX289" s="65" t="str">
        <f t="shared" si="304"/>
        <v>valid</v>
      </c>
      <c r="CY289" s="66" t="str">
        <f t="shared" si="318"/>
        <v>MGSp</v>
      </c>
      <c r="CZ289" s="81">
        <f t="shared" si="305"/>
        <v>28.511802000000003</v>
      </c>
      <c r="DA289" s="59">
        <f t="shared" si="306"/>
        <v>7.8817902000000029</v>
      </c>
      <c r="DB289" s="59">
        <f t="shared" si="307"/>
        <v>0</v>
      </c>
      <c r="DC289" s="59">
        <f t="shared" si="308"/>
        <v>7.7504270300000027</v>
      </c>
      <c r="DD289" s="59">
        <f t="shared" si="309"/>
        <v>0</v>
      </c>
      <c r="DE289" s="79">
        <f t="shared" si="310"/>
        <v>29.668165560000002</v>
      </c>
      <c r="DF289" s="83">
        <f t="shared" si="319"/>
        <v>36.393592200000008</v>
      </c>
    </row>
    <row r="290" spans="2:255" ht="16.5" customHeight="1" x14ac:dyDescent="0.25">
      <c r="B290" s="168"/>
      <c r="C290" s="168" t="s">
        <v>792</v>
      </c>
      <c r="D290" s="175" t="s">
        <v>793</v>
      </c>
      <c r="E290" s="170" t="s">
        <v>567</v>
      </c>
      <c r="F290" s="50">
        <f t="shared" si="315"/>
        <v>0.93060637052729933</v>
      </c>
      <c r="G290" s="50" t="str">
        <f t="shared" ca="1" si="316"/>
        <v>No</v>
      </c>
      <c r="H290" s="51" t="str">
        <f t="shared" si="317"/>
        <v>Main - Genoa - Spinnaker</v>
      </c>
      <c r="I290" s="171">
        <v>38624</v>
      </c>
      <c r="J290" s="171"/>
      <c r="K290" s="172" t="s">
        <v>794</v>
      </c>
      <c r="L290" s="172" t="s">
        <v>187</v>
      </c>
      <c r="M290" s="171"/>
      <c r="N290" s="173" t="s">
        <v>795</v>
      </c>
      <c r="O290" s="173"/>
      <c r="P290" s="186"/>
      <c r="Q290" s="175">
        <v>8</v>
      </c>
      <c r="R290" s="78"/>
      <c r="S290" s="59">
        <f t="shared" si="286"/>
        <v>0.2</v>
      </c>
      <c r="T290" s="176">
        <v>0</v>
      </c>
      <c r="U290" s="176">
        <v>0</v>
      </c>
      <c r="V290" s="61">
        <f t="shared" si="287"/>
        <v>8</v>
      </c>
      <c r="W290" s="62">
        <f>IF(RL&gt;0,IF(RL&gt;'Look Ups'!R$7,'Look Ups'!R$8,('Look Ups'!R$3*RL^3+'Look Ups'!R$4*RL^2+'Look Ups'!R$5*RL+'Look Ups'!R$6)),0)</f>
        <v>0.293796</v>
      </c>
      <c r="X290" s="177">
        <v>915</v>
      </c>
      <c r="Y290" s="178"/>
      <c r="Z290" s="178"/>
      <c r="AA290" s="178"/>
      <c r="AB290" s="65">
        <f t="shared" si="288"/>
        <v>915</v>
      </c>
      <c r="AC290" s="66">
        <f t="shared" si="289"/>
        <v>915</v>
      </c>
      <c r="AD290" s="179" t="s">
        <v>129</v>
      </c>
      <c r="AE290" s="180" t="s">
        <v>130</v>
      </c>
      <c r="AF290" s="181" t="s">
        <v>131</v>
      </c>
      <c r="AG290" s="70">
        <f>IF(C290="",0,VLOOKUP(AD290,'Look Ups'!$B$3:$C$6,2,0)*VLOOKUP(AE290,'Look Ups'!$E$3:$F$5,2,0)*VLOOKUP(AF290,'Look Ups'!$H$3:$I$7,2,0))</f>
        <v>1</v>
      </c>
      <c r="AH290" s="80">
        <v>11.02</v>
      </c>
      <c r="AI290" s="77">
        <v>11.03</v>
      </c>
      <c r="AJ290" s="77">
        <v>3.01</v>
      </c>
      <c r="AK290" s="77">
        <v>0.36</v>
      </c>
      <c r="AL290" s="77">
        <v>0.98</v>
      </c>
      <c r="AM290" s="77">
        <v>10.94</v>
      </c>
      <c r="AN290" s="77">
        <v>0.16</v>
      </c>
      <c r="AO290" s="77">
        <v>3.07</v>
      </c>
      <c r="AP290" s="77">
        <v>0.2</v>
      </c>
      <c r="AQ290" s="77">
        <v>0.44</v>
      </c>
      <c r="AR290" s="77" t="s">
        <v>132</v>
      </c>
      <c r="AS290" s="87">
        <v>0</v>
      </c>
      <c r="AT290" s="59">
        <f t="shared" si="290"/>
        <v>11.139999999999999</v>
      </c>
      <c r="AU290" s="59">
        <f t="shared" si="291"/>
        <v>1.8050999999999999</v>
      </c>
      <c r="AV290" s="72">
        <f>IF(C290="",0,(0.5*(_ML1*LPM)+0.5*(_ML1*HB)+0.66*(P*PR)+0.66*(_ML2*RDM)+0.66*(E*ER))*VLOOKUP(BATT,'Look Ups'!$N$3:$O$4,2,0))</f>
        <v>27.263407999999995</v>
      </c>
      <c r="AW290" s="182"/>
      <c r="AX290" s="183"/>
      <c r="AY290" s="80">
        <v>9.6</v>
      </c>
      <c r="AZ290" s="77">
        <v>4.07</v>
      </c>
      <c r="BA290" s="77">
        <v>4.4000000000000004</v>
      </c>
      <c r="BB290" s="77">
        <v>0.2</v>
      </c>
      <c r="BC290" s="77">
        <v>8.86</v>
      </c>
      <c r="BD290" s="77"/>
      <c r="BE290" s="77"/>
      <c r="BF290" s="77">
        <v>-0.36</v>
      </c>
      <c r="BG290" s="77">
        <v>-0.08</v>
      </c>
      <c r="BH290" s="87"/>
      <c r="BI290" s="72">
        <f t="shared" si="292"/>
        <v>17.504784000000001</v>
      </c>
      <c r="BJ290" s="76"/>
      <c r="BK290" s="77"/>
      <c r="BL290" s="78"/>
      <c r="BM290" s="78"/>
      <c r="BN290" s="77"/>
      <c r="BO290" s="78"/>
      <c r="BP290" s="78"/>
      <c r="BQ290" s="79">
        <f t="shared" si="293"/>
        <v>0</v>
      </c>
      <c r="BR290" s="80"/>
      <c r="BS290" s="77"/>
      <c r="BT290" s="77"/>
      <c r="BU290" s="77"/>
      <c r="BV290" s="77"/>
      <c r="BW290" s="77"/>
      <c r="BX290" s="77"/>
      <c r="BY290" s="72">
        <f t="shared" si="294"/>
        <v>0</v>
      </c>
      <c r="BZ290" s="182">
        <v>5.72</v>
      </c>
      <c r="CA290" s="77">
        <v>11.18</v>
      </c>
      <c r="CB290" s="77">
        <v>9.32</v>
      </c>
      <c r="CC290" s="77">
        <v>5.44</v>
      </c>
      <c r="CD290" s="65">
        <f t="shared" si="295"/>
        <v>95.104895104895121</v>
      </c>
      <c r="CE290" s="77">
        <v>0</v>
      </c>
      <c r="CF290" s="79">
        <f t="shared" si="296"/>
        <v>46.945</v>
      </c>
      <c r="CG290" s="80"/>
      <c r="CH290" s="77"/>
      <c r="CI290" s="77"/>
      <c r="CJ290" s="77"/>
      <c r="CK290" s="59" t="str">
        <f t="shared" si="311"/>
        <v/>
      </c>
      <c r="CL290" s="77">
        <v>0</v>
      </c>
      <c r="CM290" s="72">
        <f t="shared" si="297"/>
        <v>0</v>
      </c>
      <c r="CN290" s="81">
        <f t="shared" si="298"/>
        <v>1</v>
      </c>
      <c r="CO290" s="59">
        <f t="shared" si="299"/>
        <v>29.068507999999994</v>
      </c>
      <c r="CP290" s="59">
        <f t="shared" si="300"/>
        <v>1</v>
      </c>
      <c r="CQ290" s="59">
        <f t="shared" si="301"/>
        <v>17.504784000000001</v>
      </c>
      <c r="CR290" s="59">
        <f>IF(AV290&gt;0,'Look Ups'!$L$3,0)</f>
        <v>1</v>
      </c>
      <c r="CS290" s="59">
        <f t="shared" si="302"/>
        <v>0</v>
      </c>
      <c r="CT290" s="59">
        <f t="shared" si="312"/>
        <v>0</v>
      </c>
      <c r="CU290" s="59">
        <f t="shared" si="313"/>
        <v>0</v>
      </c>
      <c r="CV290" s="79">
        <f t="shared" si="314"/>
        <v>0</v>
      </c>
      <c r="CW290" s="82" t="str">
        <f t="shared" si="303"/>
        <v>-</v>
      </c>
      <c r="CX290" s="65" t="str">
        <f t="shared" si="304"/>
        <v>valid</v>
      </c>
      <c r="CY290" s="66" t="str">
        <f t="shared" si="318"/>
        <v>MGSp</v>
      </c>
      <c r="CZ290" s="81">
        <f t="shared" si="305"/>
        <v>46.573291999999995</v>
      </c>
      <c r="DA290" s="59">
        <f t="shared" si="306"/>
        <v>8.8320647999999995</v>
      </c>
      <c r="DB290" s="59">
        <f t="shared" si="307"/>
        <v>0</v>
      </c>
      <c r="DC290" s="59">
        <f t="shared" si="308"/>
        <v>8.6848637199999992</v>
      </c>
      <c r="DD290" s="59">
        <f t="shared" si="309"/>
        <v>0</v>
      </c>
      <c r="DE290" s="79">
        <f t="shared" si="310"/>
        <v>47.822174191999991</v>
      </c>
      <c r="DF290" s="83">
        <f t="shared" si="319"/>
        <v>55.405356799999993</v>
      </c>
    </row>
    <row r="291" spans="2:255" ht="16.5" customHeight="1" x14ac:dyDescent="0.25">
      <c r="B291" s="168"/>
      <c r="C291" s="47" t="s">
        <v>481</v>
      </c>
      <c r="D291" s="48" t="s">
        <v>167</v>
      </c>
      <c r="E291" s="49" t="s">
        <v>975</v>
      </c>
      <c r="F291" s="50">
        <f t="shared" si="315"/>
        <v>0.96064426217753762</v>
      </c>
      <c r="G291" s="50" t="str">
        <f t="shared" ca="1" si="316"/>
        <v>Yes</v>
      </c>
      <c r="H291" s="51" t="str">
        <f t="shared" si="317"/>
        <v>Main - Genoa - Screacher - Spinnaker</v>
      </c>
      <c r="I291" s="52">
        <v>43682</v>
      </c>
      <c r="J291" s="52">
        <v>40758</v>
      </c>
      <c r="K291" s="53" t="s">
        <v>482</v>
      </c>
      <c r="L291" s="53" t="s">
        <v>126</v>
      </c>
      <c r="M291" s="54"/>
      <c r="N291" s="55" t="s">
        <v>127</v>
      </c>
      <c r="O291" s="55" t="s">
        <v>138</v>
      </c>
      <c r="P291" s="56"/>
      <c r="Q291" s="57">
        <v>9.74</v>
      </c>
      <c r="R291" s="58"/>
      <c r="S291" s="59">
        <f t="shared" ref="S291:S318" si="320">IF((LOAA&gt;LOA),0.025*LOAA,0.025*LOA)</f>
        <v>0.24350000000000002</v>
      </c>
      <c r="T291" s="60">
        <v>0.11</v>
      </c>
      <c r="U291" s="60">
        <v>0</v>
      </c>
      <c r="V291" s="61">
        <f t="shared" ref="V291:V318" si="321">IF((LOAA&gt;LOA),LOAA,LOA-FOC-AOC)</f>
        <v>9.6300000000000008</v>
      </c>
      <c r="W291" s="62">
        <f>IF(RL&gt;0,IF(RL&gt;'Look Ups'!R$7,'Look Ups'!R$8,('Look Ups'!R$3*RL^3+'Look Ups'!R$4*RL^2+'Look Ups'!R$5*RL+'Look Ups'!R$6)),0)</f>
        <v>0.29792419945100002</v>
      </c>
      <c r="X291" s="63">
        <v>1995</v>
      </c>
      <c r="Y291" s="64"/>
      <c r="Z291" s="64"/>
      <c r="AA291" s="64"/>
      <c r="AB291" s="65">
        <f t="shared" ref="AB291:AB318" si="322">WM+WE</f>
        <v>1995</v>
      </c>
      <c r="AC291" s="66">
        <f t="shared" ref="AC291:AC318" si="323">WS+WCD+4*NC</f>
        <v>1995</v>
      </c>
      <c r="AD291" s="67" t="s">
        <v>129</v>
      </c>
      <c r="AE291" s="68" t="s">
        <v>130</v>
      </c>
      <c r="AF291" s="69" t="s">
        <v>131</v>
      </c>
      <c r="AG291" s="70">
        <f>IF(C291="",0,VLOOKUP(AD291,'Look Ups'!$B$3:$C$6,2,0)*VLOOKUP(AE291,'Look Ups'!$E$3:$F$5,2,0)*VLOOKUP(AF291,'Look Ups'!$H$3:$I$7,2,0))</f>
        <v>1</v>
      </c>
      <c r="AH291" s="71">
        <v>13.065</v>
      </c>
      <c r="AI291" s="60">
        <v>12.925000000000001</v>
      </c>
      <c r="AJ291" s="60">
        <v>4.157</v>
      </c>
      <c r="AK291" s="60">
        <v>1.9849999999999999</v>
      </c>
      <c r="AL291" s="60">
        <v>0.182</v>
      </c>
      <c r="AM291" s="60">
        <v>12.97</v>
      </c>
      <c r="AN291" s="60">
        <v>0.23</v>
      </c>
      <c r="AO291" s="60">
        <v>4.2149999999999999</v>
      </c>
      <c r="AP291" s="60">
        <v>2.3E-2</v>
      </c>
      <c r="AQ291" s="60">
        <v>0</v>
      </c>
      <c r="AR291" s="60" t="s">
        <v>132</v>
      </c>
      <c r="AS291" s="75">
        <v>0</v>
      </c>
      <c r="AT291" s="59">
        <f t="shared" ref="AT291:AT318" si="324">P+ER</f>
        <v>12.993</v>
      </c>
      <c r="AU291" s="59">
        <f t="shared" ref="AU291:AU318" si="325">P*0.375*MC</f>
        <v>0</v>
      </c>
      <c r="AV291" s="72">
        <f>IF(C291="",0,(0.5*(_ML1*LPM)+0.5*(_ML1*HB)+0.66*(P*PR)+0.66*(_ML2*RDM)+0.66*(E*ER))*VLOOKUP(BATT,'Look Ups'!$N$3:$O$4,2,0))</f>
        <v>43.707995699999998</v>
      </c>
      <c r="AW291" s="73"/>
      <c r="AX291" s="74"/>
      <c r="AY291" s="71">
        <v>11.62</v>
      </c>
      <c r="AZ291" s="60">
        <v>3.64</v>
      </c>
      <c r="BA291" s="60">
        <v>4.1500000000000004</v>
      </c>
      <c r="BB291" s="60">
        <v>0.17</v>
      </c>
      <c r="BC291" s="60">
        <v>10.32</v>
      </c>
      <c r="BD291" s="60"/>
      <c r="BE291" s="60"/>
      <c r="BF291" s="60">
        <v>0.06</v>
      </c>
      <c r="BG291" s="60">
        <v>0.06</v>
      </c>
      <c r="BH291" s="75">
        <v>0</v>
      </c>
      <c r="BI291" s="72">
        <f t="shared" ref="BI291:BI318" si="326">(0.5*LL*LPG)+(0.5*_LG1*HG)+(0.66*LL*LLRG)+(0.66*FG*FRG)+(IF((HG&gt;0),(0.66*_LG2*LRG),(0.66*_LG1*LRG)))</f>
        <v>22.482854</v>
      </c>
      <c r="BJ291" s="76"/>
      <c r="BK291" s="77"/>
      <c r="BL291" s="78"/>
      <c r="BM291" s="78"/>
      <c r="BN291" s="77"/>
      <c r="BO291" s="78"/>
      <c r="BP291" s="78"/>
      <c r="BQ291" s="79">
        <f t="shared" ref="BQ291:BQ318" si="327">(0.5*LLS*LPS)+(0.66*LLS*LLRS)+(0.66*LS*LRS)+(0.66*FS*FRS)</f>
        <v>0</v>
      </c>
      <c r="BR291" s="80"/>
      <c r="BS291" s="77"/>
      <c r="BT291" s="77"/>
      <c r="BU291" s="77"/>
      <c r="BV291" s="77"/>
      <c r="BW291" s="77"/>
      <c r="BX291" s="77"/>
      <c r="BY291" s="72">
        <f t="shared" ref="BY291:BY318" si="328">(0.5*LLD*LPD)+(0.66*LLD*LLRD)+(0.66*LCHD*LRD)+(0.66*FD*FRD)</f>
        <v>0</v>
      </c>
      <c r="BZ291" s="73">
        <v>9.94</v>
      </c>
      <c r="CA291" s="60">
        <v>17.25</v>
      </c>
      <c r="CB291" s="60">
        <v>14.05</v>
      </c>
      <c r="CC291" s="60">
        <v>9.07</v>
      </c>
      <c r="CD291" s="65">
        <f t="shared" ref="CD291:CD318" si="329">IF(SF&gt;0,SMG/SF*100,"")</f>
        <v>91.247484909456745</v>
      </c>
      <c r="CE291" s="60">
        <v>0</v>
      </c>
      <c r="CF291" s="79">
        <f t="shared" ref="CF291:CF318" si="330">SF*(_SL1+_SL2)/4+(SMG-SF/2)*(_SL1+_SL2)/3</f>
        <v>120.55716666666667</v>
      </c>
      <c r="CG291" s="71">
        <v>7.18</v>
      </c>
      <c r="CH291" s="60">
        <v>13.2</v>
      </c>
      <c r="CI291" s="60">
        <v>11.52</v>
      </c>
      <c r="CJ291" s="60">
        <v>3.61</v>
      </c>
      <c r="CK291" s="59">
        <f t="shared" si="311"/>
        <v>50.278551532033418</v>
      </c>
      <c r="CL291" s="60">
        <v>0</v>
      </c>
      <c r="CM291" s="72">
        <f t="shared" ref="CM291:CM318" si="331">SCRF*(ScrL1+ScrL2)/4+(ScrMG-SCRF/2)*(ScrL1+ScrL2)/3</f>
        <v>44.537199999999999</v>
      </c>
      <c r="CN291" s="81">
        <f t="shared" ref="CN291:CN318" si="332">IF(ZVAL=1,1,IF(LPM&gt;0,0.64*((AM+MAM)/(E+(MC/2))^2)^0.3,0))</f>
        <v>1</v>
      </c>
      <c r="CO291" s="59">
        <f t="shared" ref="CO291:CO318" si="333">0.65*((AM+MAM)*EFM)+0.35*((AM+MAM)*ZVAL)</f>
        <v>43.707995699999998</v>
      </c>
      <c r="CP291" s="59">
        <f t="shared" ref="CP291:CP318" si="334">IF(ZVAL=1,1,IF(LPG&gt;0,0.72*(AG/(LPG^2))^0.3,0))</f>
        <v>1</v>
      </c>
      <c r="CQ291" s="59">
        <f t="shared" ref="CQ291:CQ318" si="335">AG*EFG</f>
        <v>22.482854</v>
      </c>
      <c r="CR291" s="59">
        <f>IF(AV291&gt;0,'Look Ups'!$L$3,0)</f>
        <v>1</v>
      </c>
      <c r="CS291" s="59">
        <f t="shared" ref="CS291:CS318" si="336">IF(LPS&gt;0,0.72*(AS/(LPS^2))^0.3,0)</f>
        <v>0</v>
      </c>
      <c r="CT291" s="59">
        <f t="shared" si="312"/>
        <v>0</v>
      </c>
      <c r="CU291" s="59">
        <f t="shared" si="313"/>
        <v>0</v>
      </c>
      <c r="CV291" s="79">
        <f t="shared" si="314"/>
        <v>0</v>
      </c>
      <c r="CW291" s="82" t="str">
        <f t="shared" ref="CW291:CW318" si="337">IF((SCRF=0),"-",IF(AND(MSASC&gt;AG,ScrMG&gt;=(0.5*SCRF),ScrMG&lt;(0.75*SCRF)),"valid","ERROR"))</f>
        <v>valid</v>
      </c>
      <c r="CX291" s="65" t="str">
        <f t="shared" ref="CX291:CX318" si="338">IF((SF=0),"-",IF((SMG&lt;(0.75*SF)),"ERROR",IF(AND(MSASP&gt;MSASC,MSASP&gt;AG,MSASP&gt;=0.36*RSAM),"valid",0)))</f>
        <v>valid</v>
      </c>
      <c r="CY291" s="66" t="str">
        <f t="shared" si="318"/>
        <v>MGScrSp</v>
      </c>
      <c r="CZ291" s="81">
        <f t="shared" ref="CZ291:CZ318" si="339">RSAM+RSAG</f>
        <v>66.190849700000001</v>
      </c>
      <c r="DA291" s="59">
        <f t="shared" ref="DA291:DA318" si="340">IF(MSASP&gt;0,0.3*(ZVAL*MSASP-RSAG),0)</f>
        <v>29.422293799999998</v>
      </c>
      <c r="DB291" s="59">
        <f t="shared" ref="DB291:DB318" si="341">IF(AND(MSASC&gt;0,(MSASC&gt;=0.36*RSAM)),(0.35*(ZVAL*MSASC-RSAG)),(0))</f>
        <v>7.7190210999999991</v>
      </c>
      <c r="DC291" s="59">
        <f t="shared" ref="DC291:DC318" si="342">IF(MSASP&gt;0,0.295*(ZVAL*MSASP-RSAG),0)</f>
        <v>28.931922236666665</v>
      </c>
      <c r="DD291" s="59">
        <f t="shared" ref="DD291:DD318" si="343">IF(MSASC&gt;0,0.055*(MSASC-RSAG),0)</f>
        <v>1.2129890299999999</v>
      </c>
      <c r="DE291" s="79">
        <f t="shared" ref="DE291:DE318" si="344">RSAMG+(ZVAL*0.3*0.36*(RSAM-RSAG))</f>
        <v>68.483165003600007</v>
      </c>
      <c r="DF291" s="255">
        <f t="shared" si="319"/>
        <v>96.335760966666669</v>
      </c>
    </row>
    <row r="292" spans="2:255" ht="16.5" customHeight="1" x14ac:dyDescent="0.25">
      <c r="B292" s="47"/>
      <c r="C292" s="47" t="s">
        <v>483</v>
      </c>
      <c r="D292" s="48" t="s">
        <v>410</v>
      </c>
      <c r="E292" s="49" t="s">
        <v>991</v>
      </c>
      <c r="F292" s="50">
        <f t="shared" si="315"/>
        <v>0.856420666203495</v>
      </c>
      <c r="G292" s="50" t="str">
        <f t="shared" ca="1" si="316"/>
        <v>Yes</v>
      </c>
      <c r="H292" s="51" t="str">
        <f t="shared" si="317"/>
        <v>Main - Genoa - Screacher - Spinnaker</v>
      </c>
      <c r="I292" s="52">
        <v>42344</v>
      </c>
      <c r="J292" s="52">
        <v>42672</v>
      </c>
      <c r="K292" s="53" t="s">
        <v>845</v>
      </c>
      <c r="L292" s="53" t="s">
        <v>841</v>
      </c>
      <c r="M292" s="54"/>
      <c r="N292" s="75" t="s">
        <v>127</v>
      </c>
      <c r="O292" s="75" t="s">
        <v>128</v>
      </c>
      <c r="P292" s="56"/>
      <c r="Q292" s="57">
        <v>8.7200000000000006</v>
      </c>
      <c r="R292" s="58"/>
      <c r="S292" s="59">
        <f t="shared" si="320"/>
        <v>0.21800000000000003</v>
      </c>
      <c r="T292" s="60">
        <v>0.15</v>
      </c>
      <c r="U292" s="60">
        <v>0</v>
      </c>
      <c r="V292" s="61">
        <f t="shared" si="321"/>
        <v>8.57</v>
      </c>
      <c r="W292" s="62">
        <f>IF(RL&gt;0,IF(RL&gt;'Look Ups'!R$7,'Look Ups'!R$8,('Look Ups'!R$3*RL^3+'Look Ups'!R$4*RL^2+'Look Ups'!R$5*RL+'Look Ups'!R$6)),0)</f>
        <v>0.29556309216900001</v>
      </c>
      <c r="X292" s="63">
        <v>1555</v>
      </c>
      <c r="Y292" s="64"/>
      <c r="Z292" s="292"/>
      <c r="AA292" s="316"/>
      <c r="AB292" s="65">
        <f t="shared" si="322"/>
        <v>1555</v>
      </c>
      <c r="AC292" s="66">
        <f t="shared" si="323"/>
        <v>1555</v>
      </c>
      <c r="AD292" s="67" t="s">
        <v>129</v>
      </c>
      <c r="AE292" s="68" t="s">
        <v>130</v>
      </c>
      <c r="AF292" s="69" t="s">
        <v>131</v>
      </c>
      <c r="AG292" s="70">
        <f>IF(C292="",0,VLOOKUP(AD292,'Look Ups'!$B$3:$C$6,2,0)*VLOOKUP(AE292,'Look Ups'!$E$3:$F$5,2,0)*VLOOKUP(AF292,'Look Ups'!$H$3:$I$7,2,0))</f>
        <v>1</v>
      </c>
      <c r="AH292" s="71">
        <v>11.16</v>
      </c>
      <c r="AI292" s="60">
        <v>10.97</v>
      </c>
      <c r="AJ292" s="60">
        <v>3.54</v>
      </c>
      <c r="AK292" s="60">
        <v>0.78</v>
      </c>
      <c r="AL292" s="60">
        <v>0.69</v>
      </c>
      <c r="AM292" s="60">
        <v>10.72</v>
      </c>
      <c r="AN292" s="60">
        <v>0.09</v>
      </c>
      <c r="AO292" s="60">
        <v>3.69</v>
      </c>
      <c r="AP292" s="60">
        <v>0</v>
      </c>
      <c r="AQ292" s="60">
        <v>0.49</v>
      </c>
      <c r="AR292" s="60" t="s">
        <v>132</v>
      </c>
      <c r="AS292" s="75">
        <v>14</v>
      </c>
      <c r="AT292" s="59">
        <f t="shared" si="324"/>
        <v>10.72</v>
      </c>
      <c r="AU292" s="59">
        <f t="shared" si="325"/>
        <v>1.9698000000000002</v>
      </c>
      <c r="AV292" s="72">
        <f>IF(C292="",0,(0.5*(_ML1*LPM)+0.5*(_ML1*HB)+0.66*(P*PR)+0.66*(_ML2*RDM)+0.66*(E*ER))*VLOOKUP(BATT,'Look Ups'!$N$3:$O$4,2,0))</f>
        <v>29.738105999999998</v>
      </c>
      <c r="AW292" s="73"/>
      <c r="AX292" s="74"/>
      <c r="AY292" s="71">
        <v>9.26</v>
      </c>
      <c r="AZ292" s="60">
        <v>3.46</v>
      </c>
      <c r="BA292" s="60">
        <v>3.76</v>
      </c>
      <c r="BB292" s="60">
        <v>0.18</v>
      </c>
      <c r="BC292" s="60">
        <v>8.4</v>
      </c>
      <c r="BD292" s="60"/>
      <c r="BE292" s="60">
        <v>0</v>
      </c>
      <c r="BF292" s="60">
        <v>-0.01</v>
      </c>
      <c r="BG292" s="60">
        <v>-5.0000000000000001E-3</v>
      </c>
      <c r="BH292" s="75">
        <v>1</v>
      </c>
      <c r="BI292" s="72">
        <f t="shared" si="326"/>
        <v>16.380489999999998</v>
      </c>
      <c r="BJ292" s="76"/>
      <c r="BK292" s="77"/>
      <c r="BL292" s="78"/>
      <c r="BM292" s="78"/>
      <c r="BN292" s="77"/>
      <c r="BO292" s="78"/>
      <c r="BP292" s="78"/>
      <c r="BQ292" s="79">
        <f t="shared" si="327"/>
        <v>0</v>
      </c>
      <c r="BR292" s="80"/>
      <c r="BS292" s="77"/>
      <c r="BT292" s="77"/>
      <c r="BU292" s="77"/>
      <c r="BV292" s="77"/>
      <c r="BW292" s="77"/>
      <c r="BX292" s="77"/>
      <c r="BY292" s="72">
        <f t="shared" si="328"/>
        <v>0</v>
      </c>
      <c r="BZ292" s="73">
        <v>8.48</v>
      </c>
      <c r="CA292" s="60">
        <v>12.14</v>
      </c>
      <c r="CB292" s="60">
        <v>11.24</v>
      </c>
      <c r="CC292" s="60">
        <v>7.02</v>
      </c>
      <c r="CD292" s="65">
        <f t="shared" si="329"/>
        <v>82.783018867924511</v>
      </c>
      <c r="CE292" s="60"/>
      <c r="CF292" s="79">
        <f t="shared" si="330"/>
        <v>71.231066666666678</v>
      </c>
      <c r="CG292" s="71">
        <v>7.05</v>
      </c>
      <c r="CH292" s="60">
        <v>10.25</v>
      </c>
      <c r="CI292" s="60">
        <v>8.8699999999999992</v>
      </c>
      <c r="CJ292" s="60">
        <v>3.53</v>
      </c>
      <c r="CK292" s="59">
        <f t="shared" ref="CK292:CK318" si="345">IF(CG292&gt;0,CJ292/CG292*100,"")</f>
        <v>50.070921985815595</v>
      </c>
      <c r="CL292" s="60">
        <v>0</v>
      </c>
      <c r="CM292" s="72">
        <f t="shared" si="331"/>
        <v>33.730866666666664</v>
      </c>
      <c r="CN292" s="81">
        <f t="shared" si="332"/>
        <v>1</v>
      </c>
      <c r="CO292" s="59">
        <f t="shared" si="333"/>
        <v>31.707905999999998</v>
      </c>
      <c r="CP292" s="59">
        <f t="shared" si="334"/>
        <v>1</v>
      </c>
      <c r="CQ292" s="59">
        <f t="shared" si="335"/>
        <v>16.380489999999998</v>
      </c>
      <c r="CR292" s="59">
        <f>IF(AV292&gt;0,'Look Ups'!$L$3,0)</f>
        <v>1</v>
      </c>
      <c r="CS292" s="59">
        <f t="shared" si="336"/>
        <v>0</v>
      </c>
      <c r="CT292" s="59">
        <f t="shared" ref="CT292:CT318" si="346">EFS*AS</f>
        <v>0</v>
      </c>
      <c r="CU292" s="59">
        <f t="shared" ref="CU292:CU318" si="347">IF(LPD&gt;0,0.72*(AD/(LPD^2))^0.3,0)</f>
        <v>0</v>
      </c>
      <c r="CV292" s="79">
        <f t="shared" ref="CV292:CV318" si="348">IF((AD-AG)&gt;0,0.3*(AD-AG)*EFD,0)</f>
        <v>0</v>
      </c>
      <c r="CW292" s="82" t="str">
        <f t="shared" si="337"/>
        <v>valid</v>
      </c>
      <c r="CX292" s="65" t="str">
        <f t="shared" si="338"/>
        <v>valid</v>
      </c>
      <c r="CY292" s="66" t="str">
        <f t="shared" si="318"/>
        <v>MGScrSp</v>
      </c>
      <c r="CZ292" s="81">
        <f t="shared" si="339"/>
        <v>48.088395999999996</v>
      </c>
      <c r="DA292" s="59">
        <f t="shared" si="340"/>
        <v>16.455173000000006</v>
      </c>
      <c r="DB292" s="59">
        <f t="shared" si="341"/>
        <v>6.0726318333333325</v>
      </c>
      <c r="DC292" s="59">
        <f t="shared" si="342"/>
        <v>16.18092011666667</v>
      </c>
      <c r="DD292" s="59">
        <f t="shared" si="343"/>
        <v>0.95427071666666663</v>
      </c>
      <c r="DE292" s="79">
        <f t="shared" si="344"/>
        <v>49.743756927999996</v>
      </c>
      <c r="DF292" s="83">
        <f t="shared" si="319"/>
        <v>65.223586833333329</v>
      </c>
    </row>
    <row r="293" spans="2:255" ht="16.5" customHeight="1" x14ac:dyDescent="0.25">
      <c r="B293" s="47"/>
      <c r="C293" s="168" t="s">
        <v>796</v>
      </c>
      <c r="D293" s="169" t="s">
        <v>797</v>
      </c>
      <c r="E293" s="170" t="s">
        <v>228</v>
      </c>
      <c r="F293" s="50">
        <f t="shared" si="315"/>
        <v>0.87910913094546173</v>
      </c>
      <c r="G293" s="50" t="str">
        <f t="shared" ref="G293:G318" ca="1" si="349">IF(F293&gt;0,IF(OR(TODAY()-3650&gt;I293,CW293="ERROR",CX293="ERROR"),"No","Yes"),0)</f>
        <v>No</v>
      </c>
      <c r="H293" s="51" t="str">
        <f t="shared" ref="H293:H318" si="350">IF(CY293="","",IF(CY293="MG","Main - Genoa",IF(CY293="MGScr","Main - Genoa - Screacher",IF(CY293="MGSp","Main - Genoa - Spinnaker",IF(CY293="MGScrSp","Main - Genoa - Screacher - Spinnaker","Invalid"))))&amp;IF(AS&gt;0," - Staysail ","")&amp;IF(AD&gt;0," - Drifter","")&amp;IF(RSAMZ&gt;0," - Mizzen","")&amp;IF(RSA2M&gt;0," - Bi-Rig",""))</f>
        <v>Main - Genoa - Screacher - Spinnaker</v>
      </c>
      <c r="I293" s="171">
        <v>40033</v>
      </c>
      <c r="J293" s="171">
        <v>40057</v>
      </c>
      <c r="K293" s="172" t="s">
        <v>174</v>
      </c>
      <c r="L293" s="172" t="s">
        <v>143</v>
      </c>
      <c r="M293" s="171"/>
      <c r="N293" s="173" t="s">
        <v>795</v>
      </c>
      <c r="O293" s="173"/>
      <c r="P293" s="186"/>
      <c r="Q293" s="175">
        <v>9.9550000000000001</v>
      </c>
      <c r="R293" s="78"/>
      <c r="S293" s="59">
        <f t="shared" si="320"/>
        <v>0.24887500000000001</v>
      </c>
      <c r="T293" s="176">
        <v>0.08</v>
      </c>
      <c r="U293" s="176">
        <v>0</v>
      </c>
      <c r="V293" s="61">
        <f t="shared" si="321"/>
        <v>9.875</v>
      </c>
      <c r="W293" s="62">
        <f>IF(RL&gt;0,IF(RL&gt;'Look Ups'!R$7,'Look Ups'!R$8,('Look Ups'!R$3*RL^3+'Look Ups'!R$4*RL^2+'Look Ups'!R$5*RL+'Look Ups'!R$6)),0)</f>
        <v>0.29831852929687502</v>
      </c>
      <c r="X293" s="177">
        <v>2296</v>
      </c>
      <c r="Y293" s="178"/>
      <c r="Z293" s="178"/>
      <c r="AA293" s="178"/>
      <c r="AB293" s="65">
        <f t="shared" si="322"/>
        <v>2296</v>
      </c>
      <c r="AC293" s="66">
        <f t="shared" si="323"/>
        <v>2296</v>
      </c>
      <c r="AD293" s="179" t="s">
        <v>129</v>
      </c>
      <c r="AE293" s="180" t="s">
        <v>130</v>
      </c>
      <c r="AF293" s="181" t="s">
        <v>131</v>
      </c>
      <c r="AG293" s="70">
        <f>IF(C293="",0,VLOOKUP(AD293,'Look Ups'!$B$3:$C$6,2,0)*VLOOKUP(AE293,'Look Ups'!$E$3:$F$5,2,0)*VLOOKUP(AF293,'Look Ups'!$H$3:$I$7,2,0))</f>
        <v>1</v>
      </c>
      <c r="AH293" s="80">
        <v>12.62</v>
      </c>
      <c r="AI293" s="77">
        <v>12.22</v>
      </c>
      <c r="AJ293" s="77">
        <v>3.98</v>
      </c>
      <c r="AK293" s="77">
        <v>1.1200000000000001</v>
      </c>
      <c r="AL293" s="77">
        <v>0.60000000000000009</v>
      </c>
      <c r="AM293" s="77">
        <v>12.16</v>
      </c>
      <c r="AN293" s="77">
        <v>0.2</v>
      </c>
      <c r="AO293" s="77">
        <v>4.16</v>
      </c>
      <c r="AP293" s="77">
        <v>0.05</v>
      </c>
      <c r="AQ293" s="77">
        <v>0.60000000000000009</v>
      </c>
      <c r="AR293" s="77" t="s">
        <v>132</v>
      </c>
      <c r="AS293" s="87"/>
      <c r="AT293" s="59">
        <f t="shared" si="324"/>
        <v>12.21</v>
      </c>
      <c r="AU293" s="59">
        <f t="shared" si="325"/>
        <v>2.7360000000000007</v>
      </c>
      <c r="AV293" s="72">
        <f>IF(C293="",0,(0.5*(_ML1*LPM)+0.5*(_ML1*HB)+0.66*(P*PR)+0.66*(_ML2*RDM)+0.66*(E*ER))*VLOOKUP(BATT,'Look Ups'!$N$3:$O$4,2,0))</f>
        <v>38.762519999999995</v>
      </c>
      <c r="AW293" s="182"/>
      <c r="AX293" s="183"/>
      <c r="AY293" s="80">
        <v>11.3</v>
      </c>
      <c r="AZ293" s="77">
        <v>3.74</v>
      </c>
      <c r="BA293" s="77">
        <v>4.1900000000000004</v>
      </c>
      <c r="BB293" s="77">
        <v>0.14000000000000001</v>
      </c>
      <c r="BC293" s="77">
        <v>10.15</v>
      </c>
      <c r="BD293" s="77"/>
      <c r="BE293" s="77"/>
      <c r="BF293" s="77">
        <v>-0.17</v>
      </c>
      <c r="BG293" s="77">
        <v>0.09</v>
      </c>
      <c r="BH293" s="87"/>
      <c r="BI293" s="72">
        <f t="shared" si="326"/>
        <v>21.050546000000008</v>
      </c>
      <c r="BJ293" s="76"/>
      <c r="BK293" s="77"/>
      <c r="BL293" s="78"/>
      <c r="BM293" s="78"/>
      <c r="BN293" s="77"/>
      <c r="BO293" s="78"/>
      <c r="BP293" s="78"/>
      <c r="BQ293" s="79">
        <f t="shared" si="327"/>
        <v>0</v>
      </c>
      <c r="BR293" s="80"/>
      <c r="BS293" s="77"/>
      <c r="BT293" s="77"/>
      <c r="BU293" s="77"/>
      <c r="BV293" s="77"/>
      <c r="BW293" s="77"/>
      <c r="BX293" s="77"/>
      <c r="BY293" s="72">
        <f t="shared" si="328"/>
        <v>0</v>
      </c>
      <c r="BZ293" s="182">
        <v>8.9</v>
      </c>
      <c r="CA293" s="77">
        <v>14.56</v>
      </c>
      <c r="CB293" s="77">
        <v>13.18</v>
      </c>
      <c r="CC293" s="77">
        <v>7.7</v>
      </c>
      <c r="CD293" s="65">
        <f t="shared" si="329"/>
        <v>86.516853932584269</v>
      </c>
      <c r="CE293" s="77"/>
      <c r="CF293" s="79">
        <f t="shared" si="330"/>
        <v>91.773166666666668</v>
      </c>
      <c r="CG293" s="80">
        <v>7.56</v>
      </c>
      <c r="CH293" s="77">
        <v>12.55</v>
      </c>
      <c r="CI293" s="77">
        <v>11.05</v>
      </c>
      <c r="CJ293" s="77">
        <v>3.8</v>
      </c>
      <c r="CK293" s="59">
        <f t="shared" si="345"/>
        <v>50.264550264550266</v>
      </c>
      <c r="CL293" s="77"/>
      <c r="CM293" s="72">
        <f t="shared" si="331"/>
        <v>44.761333333333333</v>
      </c>
      <c r="CN293" s="81">
        <f t="shared" si="332"/>
        <v>1</v>
      </c>
      <c r="CO293" s="59">
        <f t="shared" si="333"/>
        <v>41.498519999999999</v>
      </c>
      <c r="CP293" s="59">
        <f t="shared" si="334"/>
        <v>1</v>
      </c>
      <c r="CQ293" s="59">
        <f t="shared" si="335"/>
        <v>21.050546000000008</v>
      </c>
      <c r="CR293" s="59">
        <f>IF(AV293&gt;0,'Look Ups'!$L$3,0)</f>
        <v>1</v>
      </c>
      <c r="CS293" s="59">
        <f t="shared" si="336"/>
        <v>0</v>
      </c>
      <c r="CT293" s="59">
        <f t="shared" si="346"/>
        <v>0</v>
      </c>
      <c r="CU293" s="59">
        <f t="shared" si="347"/>
        <v>0</v>
      </c>
      <c r="CV293" s="79">
        <f t="shared" si="348"/>
        <v>0</v>
      </c>
      <c r="CW293" s="82" t="str">
        <f t="shared" si="337"/>
        <v>valid</v>
      </c>
      <c r="CX293" s="65" t="str">
        <f t="shared" si="338"/>
        <v>valid</v>
      </c>
      <c r="CY293" s="66" t="str">
        <f t="shared" ref="CY293:CY318" si="351">IF(C293="","",IF(CW293="valid",IF(CX293="valid","MGScrSp","MGScr"),IF(CX293="valid","MGSp","MG")))</f>
        <v>MGScrSp</v>
      </c>
      <c r="CZ293" s="81">
        <f t="shared" si="339"/>
        <v>62.54906600000001</v>
      </c>
      <c r="DA293" s="59">
        <f t="shared" si="340"/>
        <v>21.216786199999998</v>
      </c>
      <c r="DB293" s="59">
        <f t="shared" si="341"/>
        <v>8.2987755666666629</v>
      </c>
      <c r="DC293" s="59">
        <f t="shared" si="342"/>
        <v>20.863173096666664</v>
      </c>
      <c r="DD293" s="59">
        <f t="shared" si="343"/>
        <v>1.3040933033333328</v>
      </c>
      <c r="DE293" s="79">
        <f t="shared" si="344"/>
        <v>64.757447192000015</v>
      </c>
      <c r="DF293" s="83">
        <f t="shared" si="319"/>
        <v>84.716332399999999</v>
      </c>
    </row>
    <row r="294" spans="2:255" ht="16.5" customHeight="1" x14ac:dyDescent="0.25">
      <c r="B294" s="168"/>
      <c r="C294" s="168" t="s">
        <v>798</v>
      </c>
      <c r="D294" s="169" t="s">
        <v>799</v>
      </c>
      <c r="E294" s="170" t="s">
        <v>800</v>
      </c>
      <c r="F294" s="50">
        <f t="shared" si="315"/>
        <v>0.8632205269997274</v>
      </c>
      <c r="G294" s="50" t="str">
        <f t="shared" ca="1" si="349"/>
        <v>No</v>
      </c>
      <c r="H294" s="51" t="str">
        <f t="shared" si="350"/>
        <v>Main - Genoa - Spinnaker</v>
      </c>
      <c r="I294" s="171">
        <v>38399</v>
      </c>
      <c r="J294" s="171"/>
      <c r="K294" s="172" t="s">
        <v>218</v>
      </c>
      <c r="L294" s="172" t="s">
        <v>387</v>
      </c>
      <c r="M294" s="171"/>
      <c r="N294" s="173" t="s">
        <v>537</v>
      </c>
      <c r="O294" s="173"/>
      <c r="P294" s="174">
        <v>6.84</v>
      </c>
      <c r="Q294" s="175">
        <v>9.42</v>
      </c>
      <c r="R294" s="78"/>
      <c r="S294" s="59">
        <f t="shared" si="320"/>
        <v>0.23550000000000001</v>
      </c>
      <c r="T294" s="176">
        <v>0.04</v>
      </c>
      <c r="U294" s="176">
        <v>0</v>
      </c>
      <c r="V294" s="61">
        <f t="shared" si="321"/>
        <v>9.3800000000000008</v>
      </c>
      <c r="W294" s="62">
        <f>IF(RL&gt;0,IF(RL&gt;'Look Ups'!R$7,'Look Ups'!R$8,('Look Ups'!R$3*RL^3+'Look Ups'!R$4*RL^2+'Look Ups'!R$5*RL+'Look Ups'!R$6)),0)</f>
        <v>0.29746653117600003</v>
      </c>
      <c r="X294" s="177">
        <v>2072</v>
      </c>
      <c r="Y294" s="178"/>
      <c r="Z294" s="178"/>
      <c r="AA294" s="178"/>
      <c r="AB294" s="65">
        <f t="shared" si="322"/>
        <v>2072</v>
      </c>
      <c r="AC294" s="66">
        <f t="shared" si="323"/>
        <v>2072</v>
      </c>
      <c r="AD294" s="179" t="s">
        <v>129</v>
      </c>
      <c r="AE294" s="180" t="s">
        <v>130</v>
      </c>
      <c r="AF294" s="181" t="s">
        <v>131</v>
      </c>
      <c r="AG294" s="70">
        <f>IF(C294="",0,VLOOKUP(AD294,'Look Ups'!$B$3:$C$6,2,0)*VLOOKUP(AE294,'Look Ups'!$E$3:$F$5,2,0)*VLOOKUP(AF294,'Look Ups'!$H$3:$I$7,2,0))</f>
        <v>1</v>
      </c>
      <c r="AH294" s="80">
        <v>11.55</v>
      </c>
      <c r="AI294" s="77">
        <v>11.21</v>
      </c>
      <c r="AJ294" s="77">
        <v>3.91</v>
      </c>
      <c r="AK294" s="77">
        <v>1.29</v>
      </c>
      <c r="AL294" s="77">
        <v>0.59</v>
      </c>
      <c r="AM294" s="77">
        <v>11.05</v>
      </c>
      <c r="AN294" s="77">
        <v>0.15</v>
      </c>
      <c r="AO294" s="77">
        <v>4.1100000000000003</v>
      </c>
      <c r="AP294" s="77">
        <v>0.08</v>
      </c>
      <c r="AQ294" s="77"/>
      <c r="AR294" s="77" t="s">
        <v>132</v>
      </c>
      <c r="AS294" s="87">
        <v>0</v>
      </c>
      <c r="AT294" s="59">
        <f t="shared" si="324"/>
        <v>11.13</v>
      </c>
      <c r="AU294" s="59">
        <f t="shared" si="325"/>
        <v>0</v>
      </c>
      <c r="AV294" s="72">
        <f>IF(C294="",0,(0.5*(_ML1*LPM)+0.5*(_ML1*HB)+0.66*(P*PR)+0.66*(_ML2*RDM)+0.66*(E*ER))*VLOOKUP(BATT,'Look Ups'!$N$3:$O$4,2,0))</f>
        <v>35.706132000000004</v>
      </c>
      <c r="AW294" s="182"/>
      <c r="AX294" s="183"/>
      <c r="AY294" s="80">
        <v>10.79</v>
      </c>
      <c r="AZ294" s="77">
        <v>4.7300000000000004</v>
      </c>
      <c r="BA294" s="77">
        <v>5.19</v>
      </c>
      <c r="BB294" s="77">
        <v>0.17</v>
      </c>
      <c r="BC294" s="77">
        <v>9.77</v>
      </c>
      <c r="BD294" s="77"/>
      <c r="BE294" s="77"/>
      <c r="BF294" s="77">
        <v>0.1</v>
      </c>
      <c r="BG294" s="77">
        <v>7.0000000000000007E-2</v>
      </c>
      <c r="BH294" s="87"/>
      <c r="BI294" s="72">
        <f t="shared" si="326"/>
        <v>27.243986000000003</v>
      </c>
      <c r="BJ294" s="76"/>
      <c r="BK294" s="77"/>
      <c r="BL294" s="78"/>
      <c r="BM294" s="78"/>
      <c r="BN294" s="77"/>
      <c r="BO294" s="78"/>
      <c r="BP294" s="78"/>
      <c r="BQ294" s="79">
        <f t="shared" si="327"/>
        <v>0</v>
      </c>
      <c r="BR294" s="80"/>
      <c r="BS294" s="77"/>
      <c r="BT294" s="77"/>
      <c r="BU294" s="77"/>
      <c r="BV294" s="77"/>
      <c r="BW294" s="77"/>
      <c r="BX294" s="77"/>
      <c r="BY294" s="72">
        <f t="shared" si="328"/>
        <v>0</v>
      </c>
      <c r="BZ294" s="182">
        <v>8.7899999999999991</v>
      </c>
      <c r="CA294" s="77">
        <v>12.77</v>
      </c>
      <c r="CB294" s="77">
        <v>11.67</v>
      </c>
      <c r="CC294" s="77">
        <v>7.2</v>
      </c>
      <c r="CD294" s="65">
        <f t="shared" si="329"/>
        <v>81.911262798634823</v>
      </c>
      <c r="CE294" s="77">
        <v>0</v>
      </c>
      <c r="CF294" s="79">
        <f t="shared" si="330"/>
        <v>76.558299999999988</v>
      </c>
      <c r="CG294" s="80"/>
      <c r="CH294" s="77"/>
      <c r="CI294" s="77"/>
      <c r="CJ294" s="77"/>
      <c r="CK294" s="59" t="str">
        <f t="shared" si="345"/>
        <v/>
      </c>
      <c r="CL294" s="77">
        <v>0</v>
      </c>
      <c r="CM294" s="72">
        <f t="shared" si="331"/>
        <v>0</v>
      </c>
      <c r="CN294" s="81">
        <f t="shared" si="332"/>
        <v>1</v>
      </c>
      <c r="CO294" s="59">
        <f t="shared" si="333"/>
        <v>35.706132000000004</v>
      </c>
      <c r="CP294" s="59">
        <f t="shared" si="334"/>
        <v>1</v>
      </c>
      <c r="CQ294" s="59">
        <f t="shared" si="335"/>
        <v>27.243986000000003</v>
      </c>
      <c r="CR294" s="59">
        <f>IF(AV294&gt;0,'Look Ups'!$L$3,0)</f>
        <v>1</v>
      </c>
      <c r="CS294" s="59">
        <f t="shared" si="336"/>
        <v>0</v>
      </c>
      <c r="CT294" s="59">
        <f t="shared" si="346"/>
        <v>0</v>
      </c>
      <c r="CU294" s="59">
        <f t="shared" si="347"/>
        <v>0</v>
      </c>
      <c r="CV294" s="79">
        <f t="shared" si="348"/>
        <v>0</v>
      </c>
      <c r="CW294" s="82" t="str">
        <f t="shared" si="337"/>
        <v>-</v>
      </c>
      <c r="CX294" s="65" t="str">
        <f t="shared" si="338"/>
        <v>valid</v>
      </c>
      <c r="CY294" s="66" t="str">
        <f t="shared" si="351"/>
        <v>MGSp</v>
      </c>
      <c r="CZ294" s="81">
        <f t="shared" si="339"/>
        <v>62.950118000000003</v>
      </c>
      <c r="DA294" s="59">
        <f t="shared" si="340"/>
        <v>14.794294199999994</v>
      </c>
      <c r="DB294" s="59">
        <f t="shared" si="341"/>
        <v>0</v>
      </c>
      <c r="DC294" s="59">
        <f t="shared" si="342"/>
        <v>14.547722629999994</v>
      </c>
      <c r="DD294" s="59">
        <f t="shared" si="343"/>
        <v>0</v>
      </c>
      <c r="DE294" s="79">
        <f t="shared" si="344"/>
        <v>63.864029768000002</v>
      </c>
      <c r="DF294" s="83">
        <f t="shared" si="319"/>
        <v>77.744412199999999</v>
      </c>
    </row>
    <row r="295" spans="2:255" ht="16.5" customHeight="1" x14ac:dyDescent="0.25">
      <c r="B295" s="168"/>
      <c r="C295" s="168" t="s">
        <v>801</v>
      </c>
      <c r="D295" s="169"/>
      <c r="E295" s="170" t="s">
        <v>802</v>
      </c>
      <c r="F295" s="50">
        <f t="shared" si="315"/>
        <v>0.84627541490489766</v>
      </c>
      <c r="G295" s="50" t="str">
        <f t="shared" ca="1" si="349"/>
        <v>No</v>
      </c>
      <c r="H295" s="51" t="str">
        <f t="shared" si="350"/>
        <v>Main - Genoa - Screacher - Spinnaker</v>
      </c>
      <c r="I295" s="171">
        <v>39692</v>
      </c>
      <c r="J295" s="171"/>
      <c r="K295" s="172" t="s">
        <v>803</v>
      </c>
      <c r="L295" s="172" t="s">
        <v>187</v>
      </c>
      <c r="M295" s="171"/>
      <c r="N295" s="173" t="s">
        <v>541</v>
      </c>
      <c r="O295" s="173"/>
      <c r="P295" s="186"/>
      <c r="Q295" s="175">
        <v>8.73</v>
      </c>
      <c r="R295" s="78"/>
      <c r="S295" s="59">
        <f t="shared" si="320"/>
        <v>0.21825000000000003</v>
      </c>
      <c r="T295" s="176">
        <v>0.15</v>
      </c>
      <c r="U295" s="176">
        <v>0</v>
      </c>
      <c r="V295" s="61">
        <f t="shared" si="321"/>
        <v>8.58</v>
      </c>
      <c r="W295" s="62">
        <f>IF(RL&gt;0,IF(RL&gt;'Look Ups'!R$7,'Look Ups'!R$8,('Look Ups'!R$3*RL^3+'Look Ups'!R$4*RL^2+'Look Ups'!R$5*RL+'Look Ups'!R$6)),0)</f>
        <v>0.29559078749600004</v>
      </c>
      <c r="X295" s="177">
        <v>1694</v>
      </c>
      <c r="Y295" s="178"/>
      <c r="Z295" s="178"/>
      <c r="AA295" s="178"/>
      <c r="AB295" s="65">
        <f t="shared" si="322"/>
        <v>1694</v>
      </c>
      <c r="AC295" s="66">
        <f t="shared" si="323"/>
        <v>1694</v>
      </c>
      <c r="AD295" s="179" t="s">
        <v>129</v>
      </c>
      <c r="AE295" s="180" t="s">
        <v>130</v>
      </c>
      <c r="AF295" s="181" t="s">
        <v>131</v>
      </c>
      <c r="AG295" s="70">
        <f>IF(C295="",0,VLOOKUP(AD295,'Look Ups'!$B$3:$C$6,2,0)*VLOOKUP(AE295,'Look Ups'!$E$3:$F$5,2,0)*VLOOKUP(AF295,'Look Ups'!$H$3:$I$7,2,0))</f>
        <v>1</v>
      </c>
      <c r="AH295" s="80">
        <v>11.1</v>
      </c>
      <c r="AI295" s="77">
        <v>11.24</v>
      </c>
      <c r="AJ295" s="77">
        <v>3.4</v>
      </c>
      <c r="AK295" s="77">
        <v>0.09</v>
      </c>
      <c r="AL295" s="77">
        <v>1.56</v>
      </c>
      <c r="AM295" s="77">
        <v>10.63</v>
      </c>
      <c r="AN295" s="77">
        <v>0.15</v>
      </c>
      <c r="AO295" s="77">
        <v>3.6</v>
      </c>
      <c r="AP295" s="77">
        <v>0.06</v>
      </c>
      <c r="AQ295" s="77">
        <v>0.5</v>
      </c>
      <c r="AR295" s="77" t="s">
        <v>132</v>
      </c>
      <c r="AS295" s="87">
        <v>212</v>
      </c>
      <c r="AT295" s="59">
        <f t="shared" si="324"/>
        <v>10.690000000000001</v>
      </c>
      <c r="AU295" s="59">
        <f t="shared" si="325"/>
        <v>1.993125</v>
      </c>
      <c r="AV295" s="72">
        <f>IF(C295="",0,(0.5*(_ML1*LPM)+0.5*(_ML1*HB)+0.66*(P*PR)+0.66*(_ML2*RDM)+0.66*(E*ER))*VLOOKUP(BATT,'Look Ups'!$N$3:$O$4,2,0))</f>
        <v>32.137134000000003</v>
      </c>
      <c r="AW295" s="182"/>
      <c r="AX295" s="183"/>
      <c r="AY295" s="80">
        <v>9.02</v>
      </c>
      <c r="AZ295" s="77">
        <v>3.2</v>
      </c>
      <c r="BA295" s="77">
        <v>3.65</v>
      </c>
      <c r="BB295" s="77">
        <v>0.09</v>
      </c>
      <c r="BC295" s="77">
        <v>8.02</v>
      </c>
      <c r="BD295" s="77"/>
      <c r="BE295" s="77"/>
      <c r="BF295" s="77">
        <v>0.28000000000000003</v>
      </c>
      <c r="BG295" s="77">
        <v>0</v>
      </c>
      <c r="BH295" s="87" t="s">
        <v>165</v>
      </c>
      <c r="BI295" s="72">
        <f t="shared" si="326"/>
        <v>16.130906</v>
      </c>
      <c r="BJ295" s="76"/>
      <c r="BK295" s="77"/>
      <c r="BL295" s="78"/>
      <c r="BM295" s="78"/>
      <c r="BN295" s="77"/>
      <c r="BO295" s="78"/>
      <c r="BP295" s="78"/>
      <c r="BQ295" s="79">
        <f t="shared" si="327"/>
        <v>0</v>
      </c>
      <c r="BR295" s="80"/>
      <c r="BS295" s="77"/>
      <c r="BT295" s="77"/>
      <c r="BU295" s="77"/>
      <c r="BV295" s="77"/>
      <c r="BW295" s="77"/>
      <c r="BX295" s="77"/>
      <c r="BY295" s="72">
        <f t="shared" si="328"/>
        <v>0</v>
      </c>
      <c r="BZ295" s="182">
        <v>8.42</v>
      </c>
      <c r="CA295" s="77">
        <v>12.94</v>
      </c>
      <c r="CB295" s="77">
        <v>11.75</v>
      </c>
      <c r="CC295" s="77">
        <v>6.63</v>
      </c>
      <c r="CD295" s="65">
        <f t="shared" si="329"/>
        <v>78.741092636579566</v>
      </c>
      <c r="CE295" s="77"/>
      <c r="CF295" s="79">
        <f t="shared" si="330"/>
        <v>71.889049999999997</v>
      </c>
      <c r="CG295" s="80">
        <v>6.74</v>
      </c>
      <c r="CH295" s="77">
        <v>10.26</v>
      </c>
      <c r="CI295" s="77">
        <v>9.1</v>
      </c>
      <c r="CJ295" s="77">
        <v>3.89</v>
      </c>
      <c r="CK295" s="59">
        <f t="shared" si="345"/>
        <v>57.715133531157271</v>
      </c>
      <c r="CL295" s="77"/>
      <c r="CM295" s="72">
        <f t="shared" si="331"/>
        <v>35.977333333333334</v>
      </c>
      <c r="CN295" s="81">
        <f t="shared" si="332"/>
        <v>1</v>
      </c>
      <c r="CO295" s="59">
        <f t="shared" si="333"/>
        <v>34.130259000000002</v>
      </c>
      <c r="CP295" s="59">
        <f t="shared" si="334"/>
        <v>1</v>
      </c>
      <c r="CQ295" s="59">
        <f t="shared" si="335"/>
        <v>16.130906</v>
      </c>
      <c r="CR295" s="59">
        <f>IF(AV295&gt;0,'Look Ups'!$L$3,0)</f>
        <v>1</v>
      </c>
      <c r="CS295" s="59">
        <f t="shared" si="336"/>
        <v>0</v>
      </c>
      <c r="CT295" s="59">
        <f t="shared" si="346"/>
        <v>0</v>
      </c>
      <c r="CU295" s="59">
        <f t="shared" si="347"/>
        <v>0</v>
      </c>
      <c r="CV295" s="79">
        <f t="shared" si="348"/>
        <v>0</v>
      </c>
      <c r="CW295" s="82" t="str">
        <f t="shared" si="337"/>
        <v>valid</v>
      </c>
      <c r="CX295" s="65" t="str">
        <f t="shared" si="338"/>
        <v>valid</v>
      </c>
      <c r="CY295" s="66" t="str">
        <f t="shared" si="351"/>
        <v>MGScrSp</v>
      </c>
      <c r="CZ295" s="81">
        <f t="shared" si="339"/>
        <v>50.261165000000005</v>
      </c>
      <c r="DA295" s="59">
        <f t="shared" si="340"/>
        <v>16.7274432</v>
      </c>
      <c r="DB295" s="59">
        <f t="shared" si="341"/>
        <v>6.9462495666666664</v>
      </c>
      <c r="DC295" s="59">
        <f t="shared" si="342"/>
        <v>16.44865248</v>
      </c>
      <c r="DD295" s="59">
        <f t="shared" si="343"/>
        <v>1.0915535033333335</v>
      </c>
      <c r="DE295" s="79">
        <f t="shared" si="344"/>
        <v>52.205095124000003</v>
      </c>
      <c r="DF295" s="83">
        <f t="shared" si="319"/>
        <v>67.801370983333328</v>
      </c>
    </row>
    <row r="296" spans="2:255" ht="16.5" customHeight="1" x14ac:dyDescent="0.25">
      <c r="B296" s="168"/>
      <c r="C296" s="47" t="s">
        <v>486</v>
      </c>
      <c r="D296" s="84" t="s">
        <v>487</v>
      </c>
      <c r="E296" s="49" t="s">
        <v>488</v>
      </c>
      <c r="F296" s="50">
        <f t="shared" si="315"/>
        <v>1.0875828015807658</v>
      </c>
      <c r="G296" s="50" t="str">
        <f t="shared" ca="1" si="349"/>
        <v>No</v>
      </c>
      <c r="H296" s="51" t="str">
        <f t="shared" si="350"/>
        <v>Main - Genoa - Screacher</v>
      </c>
      <c r="I296" s="52">
        <v>39039</v>
      </c>
      <c r="J296" s="52">
        <v>39039</v>
      </c>
      <c r="K296" s="53" t="s">
        <v>179</v>
      </c>
      <c r="L296" s="53" t="s">
        <v>179</v>
      </c>
      <c r="M296" s="54"/>
      <c r="N296" s="75" t="s">
        <v>149</v>
      </c>
      <c r="O296" s="75" t="s">
        <v>138</v>
      </c>
      <c r="P296" s="85"/>
      <c r="Q296" s="57">
        <v>9.65</v>
      </c>
      <c r="R296" s="58"/>
      <c r="S296" s="59">
        <f t="shared" si="320"/>
        <v>0.24125000000000002</v>
      </c>
      <c r="T296" s="60">
        <v>0.02</v>
      </c>
      <c r="U296" s="60"/>
      <c r="V296" s="61">
        <f t="shared" si="321"/>
        <v>9.6300000000000008</v>
      </c>
      <c r="W296" s="62">
        <f>IF(RL&gt;0,IF(RL&gt;'Look Ups'!R$7,'Look Ups'!R$8,('Look Ups'!R$3*RL^3+'Look Ups'!R$4*RL^2+'Look Ups'!R$5*RL+'Look Ups'!R$6)),0)</f>
        <v>0.29792419945100002</v>
      </c>
      <c r="X296" s="63">
        <v>1250</v>
      </c>
      <c r="Y296" s="64"/>
      <c r="Z296" s="64"/>
      <c r="AA296" s="64"/>
      <c r="AB296" s="65">
        <f t="shared" si="322"/>
        <v>1250</v>
      </c>
      <c r="AC296" s="66">
        <f t="shared" si="323"/>
        <v>1250</v>
      </c>
      <c r="AD296" s="67" t="s">
        <v>129</v>
      </c>
      <c r="AE296" s="68" t="s">
        <v>130</v>
      </c>
      <c r="AF296" s="69" t="s">
        <v>131</v>
      </c>
      <c r="AG296" s="70">
        <f>IF(C296="",0,VLOOKUP(AD296,'Look Ups'!$B$3:$C$6,2,0)*VLOOKUP(AE296,'Look Ups'!$E$3:$F$5,2,0)*VLOOKUP(AF296,'Look Ups'!$H$3:$I$7,2,0))</f>
        <v>1</v>
      </c>
      <c r="AH296" s="71">
        <v>14.81</v>
      </c>
      <c r="AI296" s="60">
        <v>14.68</v>
      </c>
      <c r="AJ296" s="60">
        <v>3.85</v>
      </c>
      <c r="AK296" s="60">
        <v>1.62</v>
      </c>
      <c r="AL296" s="60">
        <v>0.13</v>
      </c>
      <c r="AM296" s="60">
        <v>15.05</v>
      </c>
      <c r="AN296" s="60">
        <v>0.15</v>
      </c>
      <c r="AO296" s="60">
        <v>3.8</v>
      </c>
      <c r="AP296" s="60">
        <v>0</v>
      </c>
      <c r="AQ296" s="60">
        <v>0.62</v>
      </c>
      <c r="AR296" s="60" t="s">
        <v>132</v>
      </c>
      <c r="AS296" s="75">
        <v>0</v>
      </c>
      <c r="AT296" s="59">
        <f t="shared" si="324"/>
        <v>15.05</v>
      </c>
      <c r="AU296" s="59">
        <f t="shared" si="325"/>
        <v>3.4991250000000003</v>
      </c>
      <c r="AV296" s="72">
        <f>IF(C296="",0,(0.5*(_ML1*LPM)+0.5*(_ML1*HB)+0.66*(P*PR)+0.66*(_ML2*RDM)+0.66*(E*ER))*VLOOKUP(BATT,'Look Ups'!$N$3:$O$4,2,0))</f>
        <v>43.254844000000006</v>
      </c>
      <c r="AW296" s="73"/>
      <c r="AX296" s="74"/>
      <c r="AY296" s="71">
        <v>11.17</v>
      </c>
      <c r="AZ296" s="60">
        <v>3.03</v>
      </c>
      <c r="BA296" s="60">
        <v>3.17</v>
      </c>
      <c r="BB296" s="60">
        <v>0.12</v>
      </c>
      <c r="BC296" s="60">
        <v>10.75</v>
      </c>
      <c r="BD296" s="60"/>
      <c r="BE296" s="60"/>
      <c r="BF296" s="60">
        <v>7.0000000000000007E-2</v>
      </c>
      <c r="BG296" s="60">
        <v>0.02</v>
      </c>
      <c r="BH296" s="75">
        <v>0</v>
      </c>
      <c r="BI296" s="72">
        <f t="shared" si="326"/>
        <v>17.817707999999996</v>
      </c>
      <c r="BJ296" s="76"/>
      <c r="BK296" s="77"/>
      <c r="BL296" s="78"/>
      <c r="BM296" s="78"/>
      <c r="BN296" s="77"/>
      <c r="BO296" s="78"/>
      <c r="BP296" s="78"/>
      <c r="BQ296" s="79">
        <f t="shared" si="327"/>
        <v>0</v>
      </c>
      <c r="BR296" s="80"/>
      <c r="BS296" s="77"/>
      <c r="BT296" s="77"/>
      <c r="BU296" s="77"/>
      <c r="BV296" s="77"/>
      <c r="BW296" s="77"/>
      <c r="BX296" s="77"/>
      <c r="BY296" s="72">
        <f t="shared" si="328"/>
        <v>0</v>
      </c>
      <c r="BZ296" s="73"/>
      <c r="CA296" s="60"/>
      <c r="CB296" s="60"/>
      <c r="CC296" s="60"/>
      <c r="CD296" s="65" t="str">
        <f t="shared" si="329"/>
        <v/>
      </c>
      <c r="CE296" s="75">
        <v>0</v>
      </c>
      <c r="CF296" s="79">
        <f t="shared" si="330"/>
        <v>0</v>
      </c>
      <c r="CG296" s="71">
        <v>9.51</v>
      </c>
      <c r="CH296" s="60">
        <v>15.95</v>
      </c>
      <c r="CI296" s="60">
        <v>13.95</v>
      </c>
      <c r="CJ296" s="60">
        <v>6.66</v>
      </c>
      <c r="CK296" s="59">
        <f t="shared" si="345"/>
        <v>70.031545741324919</v>
      </c>
      <c r="CL296" s="75">
        <v>0</v>
      </c>
      <c r="CM296" s="72">
        <f t="shared" si="331"/>
        <v>90.073750000000004</v>
      </c>
      <c r="CN296" s="81">
        <f t="shared" si="332"/>
        <v>1</v>
      </c>
      <c r="CO296" s="59">
        <f t="shared" si="333"/>
        <v>46.753969000000005</v>
      </c>
      <c r="CP296" s="59">
        <f t="shared" si="334"/>
        <v>1</v>
      </c>
      <c r="CQ296" s="59">
        <f t="shared" si="335"/>
        <v>17.817707999999996</v>
      </c>
      <c r="CR296" s="59">
        <f>IF(AV296&gt;0,'Look Ups'!$L$3,0)</f>
        <v>1</v>
      </c>
      <c r="CS296" s="59">
        <f t="shared" si="336"/>
        <v>0</v>
      </c>
      <c r="CT296" s="59">
        <f t="shared" si="346"/>
        <v>0</v>
      </c>
      <c r="CU296" s="59">
        <f t="shared" si="347"/>
        <v>0</v>
      </c>
      <c r="CV296" s="79">
        <f t="shared" si="348"/>
        <v>0</v>
      </c>
      <c r="CW296" s="82" t="str">
        <f t="shared" si="337"/>
        <v>valid</v>
      </c>
      <c r="CX296" s="65" t="str">
        <f t="shared" si="338"/>
        <v>-</v>
      </c>
      <c r="CY296" s="66" t="str">
        <f t="shared" si="351"/>
        <v>MGScr</v>
      </c>
      <c r="CZ296" s="81">
        <f t="shared" si="339"/>
        <v>64.571676999999994</v>
      </c>
      <c r="DA296" s="59">
        <f t="shared" si="340"/>
        <v>0</v>
      </c>
      <c r="DB296" s="59">
        <f t="shared" si="341"/>
        <v>25.289614700000001</v>
      </c>
      <c r="DC296" s="59">
        <f t="shared" si="342"/>
        <v>0</v>
      </c>
      <c r="DD296" s="59">
        <f t="shared" si="343"/>
        <v>3.9740823100000005</v>
      </c>
      <c r="DE296" s="79">
        <f t="shared" si="344"/>
        <v>67.696793188000001</v>
      </c>
      <c r="DF296" s="83">
        <f t="shared" si="319"/>
        <v>89.861291699999995</v>
      </c>
    </row>
    <row r="297" spans="2:255" ht="16.5" customHeight="1" x14ac:dyDescent="0.25">
      <c r="B297" s="47"/>
      <c r="C297" s="47" t="s">
        <v>489</v>
      </c>
      <c r="D297" s="48" t="s">
        <v>489</v>
      </c>
      <c r="E297" s="49" t="s">
        <v>490</v>
      </c>
      <c r="F297" s="50">
        <f t="shared" si="315"/>
        <v>0.8897909341162562</v>
      </c>
      <c r="G297" s="50" t="str">
        <f t="shared" ca="1" si="349"/>
        <v>No</v>
      </c>
      <c r="H297" s="51" t="str">
        <f t="shared" si="350"/>
        <v>Main - Genoa - Spinnaker</v>
      </c>
      <c r="I297" s="52">
        <v>39692</v>
      </c>
      <c r="J297" s="52"/>
      <c r="K297" s="53" t="s">
        <v>136</v>
      </c>
      <c r="L297" s="53" t="s">
        <v>187</v>
      </c>
      <c r="M297" s="54"/>
      <c r="N297" s="55" t="s">
        <v>127</v>
      </c>
      <c r="O297" s="55"/>
      <c r="P297" s="56"/>
      <c r="Q297" s="57">
        <v>9.74</v>
      </c>
      <c r="R297" s="58"/>
      <c r="S297" s="59">
        <f t="shared" si="320"/>
        <v>0.24350000000000002</v>
      </c>
      <c r="T297" s="60">
        <v>0.67</v>
      </c>
      <c r="U297" s="60">
        <v>0</v>
      </c>
      <c r="V297" s="61">
        <f t="shared" si="321"/>
        <v>9.07</v>
      </c>
      <c r="W297" s="62">
        <f>IF(RL&gt;0,IF(RL&gt;'Look Ups'!R$7,'Look Ups'!R$8,('Look Ups'!R$3*RL^3+'Look Ups'!R$4*RL^2+'Look Ups'!R$5*RL+'Look Ups'!R$6)),0)</f>
        <v>0.29681684721900004</v>
      </c>
      <c r="X297" s="63">
        <v>2195</v>
      </c>
      <c r="Y297" s="64"/>
      <c r="Z297" s="64"/>
      <c r="AA297" s="64"/>
      <c r="AB297" s="65">
        <f t="shared" si="322"/>
        <v>2195</v>
      </c>
      <c r="AC297" s="66">
        <f t="shared" si="323"/>
        <v>2195</v>
      </c>
      <c r="AD297" s="67" t="s">
        <v>129</v>
      </c>
      <c r="AE297" s="68" t="s">
        <v>130</v>
      </c>
      <c r="AF297" s="69" t="s">
        <v>131</v>
      </c>
      <c r="AG297" s="70">
        <f>IF(C297="",0,VLOOKUP(AD297,'Look Ups'!$B$3:$C$6,2,0)*VLOOKUP(AE297,'Look Ups'!$E$3:$F$5,2,0)*VLOOKUP(AF297,'Look Ups'!$H$3:$I$7,2,0))</f>
        <v>1</v>
      </c>
      <c r="AH297" s="71">
        <v>12.69</v>
      </c>
      <c r="AI297" s="60">
        <v>12.24</v>
      </c>
      <c r="AJ297" s="60">
        <v>3.81</v>
      </c>
      <c r="AK297" s="60">
        <v>0.93</v>
      </c>
      <c r="AL297" s="60">
        <v>1.1499999999999999</v>
      </c>
      <c r="AM297" s="60">
        <v>12.07</v>
      </c>
      <c r="AN297" s="60">
        <v>7.0000000000000007E-2</v>
      </c>
      <c r="AO297" s="60">
        <v>4.01</v>
      </c>
      <c r="AP297" s="60">
        <v>0.06</v>
      </c>
      <c r="AQ297" s="60">
        <v>0.5</v>
      </c>
      <c r="AR297" s="60" t="s">
        <v>132</v>
      </c>
      <c r="AS297" s="75">
        <v>230908</v>
      </c>
      <c r="AT297" s="59">
        <f t="shared" si="324"/>
        <v>12.13</v>
      </c>
      <c r="AU297" s="59">
        <f t="shared" si="325"/>
        <v>2.2631250000000001</v>
      </c>
      <c r="AV297" s="72">
        <f>IF(C297="",0,(0.5*(_ML1*LPM)+0.5*(_ML1*HB)+0.66*(P*PR)+0.66*(_ML2*RDM)+0.66*(E*ER))*VLOOKUP(BATT,'Look Ups'!$N$3:$O$4,2,0))</f>
        <v>40.081890000000001</v>
      </c>
      <c r="AW297" s="73"/>
      <c r="AX297" s="74"/>
      <c r="AY297" s="71">
        <v>10.5</v>
      </c>
      <c r="AZ297" s="60">
        <v>5.1100000000000003</v>
      </c>
      <c r="BA297" s="60">
        <v>5.82</v>
      </c>
      <c r="BB297" s="60">
        <v>0.11</v>
      </c>
      <c r="BC297" s="60">
        <v>9.25</v>
      </c>
      <c r="BD297" s="60"/>
      <c r="BE297" s="60"/>
      <c r="BF297" s="60">
        <v>-0.18</v>
      </c>
      <c r="BG297" s="60">
        <v>0</v>
      </c>
      <c r="BH297" s="75">
        <v>1</v>
      </c>
      <c r="BI297" s="72">
        <f t="shared" si="326"/>
        <v>26.151132</v>
      </c>
      <c r="BJ297" s="76"/>
      <c r="BK297" s="77"/>
      <c r="BL297" s="78"/>
      <c r="BM297" s="78"/>
      <c r="BN297" s="77"/>
      <c r="BO297" s="78"/>
      <c r="BP297" s="78"/>
      <c r="BQ297" s="79">
        <f t="shared" si="327"/>
        <v>0</v>
      </c>
      <c r="BR297" s="80"/>
      <c r="BS297" s="77"/>
      <c r="BT297" s="77"/>
      <c r="BU297" s="77"/>
      <c r="BV297" s="77"/>
      <c r="BW297" s="77"/>
      <c r="BX297" s="77"/>
      <c r="BY297" s="72">
        <f t="shared" si="328"/>
        <v>0</v>
      </c>
      <c r="BZ297" s="73">
        <v>9.9</v>
      </c>
      <c r="CA297" s="60">
        <v>15.1</v>
      </c>
      <c r="CB297" s="60">
        <v>12.75</v>
      </c>
      <c r="CC297" s="60">
        <v>8.2200000000000006</v>
      </c>
      <c r="CD297" s="65">
        <f t="shared" si="329"/>
        <v>83.030303030303031</v>
      </c>
      <c r="CE297" s="60" t="s">
        <v>491</v>
      </c>
      <c r="CF297" s="79">
        <f t="shared" si="330"/>
        <v>99.285250000000019</v>
      </c>
      <c r="CG297" s="71"/>
      <c r="CH297" s="60"/>
      <c r="CI297" s="60"/>
      <c r="CJ297" s="60"/>
      <c r="CK297" s="59" t="str">
        <f t="shared" si="345"/>
        <v/>
      </c>
      <c r="CL297" s="60">
        <v>0</v>
      </c>
      <c r="CM297" s="72">
        <f t="shared" si="331"/>
        <v>0</v>
      </c>
      <c r="CN297" s="81">
        <f t="shared" si="332"/>
        <v>1</v>
      </c>
      <c r="CO297" s="59">
        <f t="shared" si="333"/>
        <v>42.345015000000004</v>
      </c>
      <c r="CP297" s="59">
        <f t="shared" si="334"/>
        <v>1</v>
      </c>
      <c r="CQ297" s="59">
        <f t="shared" si="335"/>
        <v>26.151132</v>
      </c>
      <c r="CR297" s="59">
        <f>IF(AV297&gt;0,'Look Ups'!$L$3,0)</f>
        <v>1</v>
      </c>
      <c r="CS297" s="59">
        <f t="shared" si="336"/>
        <v>0</v>
      </c>
      <c r="CT297" s="59">
        <f t="shared" si="346"/>
        <v>0</v>
      </c>
      <c r="CU297" s="59">
        <f t="shared" si="347"/>
        <v>0</v>
      </c>
      <c r="CV297" s="79">
        <f t="shared" si="348"/>
        <v>0</v>
      </c>
      <c r="CW297" s="82" t="str">
        <f t="shared" si="337"/>
        <v>-</v>
      </c>
      <c r="CX297" s="65" t="str">
        <f t="shared" si="338"/>
        <v>valid</v>
      </c>
      <c r="CY297" s="66" t="str">
        <f t="shared" si="351"/>
        <v>MGSp</v>
      </c>
      <c r="CZ297" s="81">
        <f t="shared" si="339"/>
        <v>68.496147000000008</v>
      </c>
      <c r="DA297" s="59">
        <f t="shared" si="340"/>
        <v>21.940235400000002</v>
      </c>
      <c r="DB297" s="59">
        <f t="shared" si="341"/>
        <v>0</v>
      </c>
      <c r="DC297" s="59">
        <f t="shared" si="342"/>
        <v>21.574564810000002</v>
      </c>
      <c r="DD297" s="59">
        <f t="shared" si="343"/>
        <v>0</v>
      </c>
      <c r="DE297" s="79">
        <f t="shared" si="344"/>
        <v>70.245086364000002</v>
      </c>
      <c r="DF297" s="83">
        <f t="shared" si="319"/>
        <v>90.436382400000014</v>
      </c>
    </row>
    <row r="298" spans="2:255" ht="16.5" customHeight="1" x14ac:dyDescent="0.25">
      <c r="B298" s="47"/>
      <c r="C298" s="210" t="s">
        <v>495</v>
      </c>
      <c r="D298" s="238" t="s">
        <v>477</v>
      </c>
      <c r="E298" s="212" t="s">
        <v>496</v>
      </c>
      <c r="F298" s="50">
        <f t="shared" si="315"/>
        <v>0.80870539257135676</v>
      </c>
      <c r="G298" s="50" t="str">
        <f t="shared" ca="1" si="349"/>
        <v>Yes</v>
      </c>
      <c r="H298" s="241" t="str">
        <f t="shared" si="350"/>
        <v>Main - Genoa - Screacher - Spinnaker</v>
      </c>
      <c r="I298" s="214">
        <v>42064</v>
      </c>
      <c r="J298" s="214">
        <v>42223</v>
      </c>
      <c r="K298" s="215" t="s">
        <v>412</v>
      </c>
      <c r="L298" s="215" t="s">
        <v>137</v>
      </c>
      <c r="M298" s="216"/>
      <c r="N298" s="232" t="s">
        <v>149</v>
      </c>
      <c r="O298" s="232"/>
      <c r="P298" s="239"/>
      <c r="Q298" s="219">
        <v>15.41</v>
      </c>
      <c r="R298" s="220"/>
      <c r="S298" s="242">
        <f t="shared" si="320"/>
        <v>0.38525000000000004</v>
      </c>
      <c r="T298" s="222">
        <v>0.15</v>
      </c>
      <c r="U298" s="222">
        <v>0</v>
      </c>
      <c r="V298" s="243">
        <f t="shared" si="321"/>
        <v>15.26</v>
      </c>
      <c r="W298" s="244">
        <f>IF(RL&gt;0,IF(RL&gt;'Look Ups'!R$7,'Look Ups'!R$8,('Look Ups'!R$3*RL^3+'Look Ups'!R$4*RL^2+'Look Ups'!R$5*RL+'Look Ups'!R$6)),0)</f>
        <v>0.3</v>
      </c>
      <c r="X298" s="223">
        <v>11569</v>
      </c>
      <c r="Y298" s="224"/>
      <c r="Z298" s="224"/>
      <c r="AA298" s="224"/>
      <c r="AB298" s="245">
        <f t="shared" si="322"/>
        <v>11569</v>
      </c>
      <c r="AC298" s="246">
        <f t="shared" si="323"/>
        <v>11569</v>
      </c>
      <c r="AD298" s="226" t="s">
        <v>129</v>
      </c>
      <c r="AE298" s="227" t="s">
        <v>130</v>
      </c>
      <c r="AF298" s="228" t="s">
        <v>161</v>
      </c>
      <c r="AG298" s="247">
        <f>IF(C298="",0,VLOOKUP(AD298,'Look Ups'!$B$3:$C$6,2,0)*VLOOKUP(AE298,'Look Ups'!$E$3:$F$5,2,0)*VLOOKUP(AF298,'Look Ups'!$H$3:$I$7,2,0))</f>
        <v>0.99</v>
      </c>
      <c r="AH298" s="229">
        <v>19.28</v>
      </c>
      <c r="AI298" s="222">
        <v>19.28</v>
      </c>
      <c r="AJ298" s="222">
        <v>6.05</v>
      </c>
      <c r="AK298" s="222">
        <v>0</v>
      </c>
      <c r="AL298" s="222">
        <v>2.2999999999999998</v>
      </c>
      <c r="AM298" s="222">
        <v>18.53</v>
      </c>
      <c r="AN298" s="222">
        <v>0.25</v>
      </c>
      <c r="AO298" s="222">
        <v>6.33</v>
      </c>
      <c r="AP298" s="222">
        <v>0.14000000000000001</v>
      </c>
      <c r="AQ298" s="222">
        <v>0</v>
      </c>
      <c r="AR298" s="222" t="s">
        <v>132</v>
      </c>
      <c r="AS298" s="232">
        <v>0</v>
      </c>
      <c r="AT298" s="242">
        <f t="shared" si="324"/>
        <v>18.670000000000002</v>
      </c>
      <c r="AU298" s="242">
        <f t="shared" si="325"/>
        <v>0</v>
      </c>
      <c r="AV298" s="248">
        <f>IF(C298="",0,(0.5*(_ML1*LPM)+0.5*(_ML1*HB)+0.66*(P*PR)+0.66*(_ML2*RDM)+0.66*(E*ER))*VLOOKUP(BATT,'Look Ups'!$N$3:$O$4,2,0))</f>
        <v>91.231381999999996</v>
      </c>
      <c r="AW298" s="230"/>
      <c r="AX298" s="231"/>
      <c r="AY298" s="229">
        <v>18.11</v>
      </c>
      <c r="AZ298" s="222">
        <v>4.9000000000000004</v>
      </c>
      <c r="BA298" s="222">
        <v>5.3</v>
      </c>
      <c r="BB298" s="222">
        <v>0.01</v>
      </c>
      <c r="BC298" s="222">
        <v>16.559999999999999</v>
      </c>
      <c r="BD298" s="222"/>
      <c r="BE298" s="222"/>
      <c r="BF298" s="222">
        <v>0.09</v>
      </c>
      <c r="BG298" s="222">
        <v>0</v>
      </c>
      <c r="BH298" s="232">
        <v>0</v>
      </c>
      <c r="BI298" s="248">
        <f t="shared" si="326"/>
        <v>45.388143999999997</v>
      </c>
      <c r="BJ298" s="249"/>
      <c r="BK298" s="242"/>
      <c r="BL298" s="250"/>
      <c r="BM298" s="250"/>
      <c r="BN298" s="242"/>
      <c r="BO298" s="250"/>
      <c r="BP298" s="250"/>
      <c r="BQ298" s="251">
        <f t="shared" si="327"/>
        <v>0</v>
      </c>
      <c r="BR298" s="252"/>
      <c r="BS298" s="242"/>
      <c r="BT298" s="242"/>
      <c r="BU298" s="242"/>
      <c r="BV298" s="242"/>
      <c r="BW298" s="242"/>
      <c r="BX298" s="242"/>
      <c r="BY298" s="248">
        <f t="shared" si="328"/>
        <v>0</v>
      </c>
      <c r="BZ298" s="230">
        <v>12.8</v>
      </c>
      <c r="CA298" s="222">
        <v>21.7</v>
      </c>
      <c r="CB298" s="222">
        <v>18.16</v>
      </c>
      <c r="CC298" s="222">
        <v>12.4</v>
      </c>
      <c r="CD298" s="245">
        <f t="shared" si="329"/>
        <v>96.875</v>
      </c>
      <c r="CE298" s="232">
        <v>0</v>
      </c>
      <c r="CF298" s="251">
        <f t="shared" si="330"/>
        <v>207.27199999999999</v>
      </c>
      <c r="CG298" s="229">
        <v>11.46</v>
      </c>
      <c r="CH298" s="222">
        <v>19.64</v>
      </c>
      <c r="CI298" s="222">
        <v>15.83</v>
      </c>
      <c r="CJ298" s="222">
        <v>5.74</v>
      </c>
      <c r="CK298" s="242">
        <f t="shared" si="345"/>
        <v>50.087260034904013</v>
      </c>
      <c r="CL298" s="232">
        <v>0</v>
      </c>
      <c r="CM298" s="248">
        <f t="shared" si="331"/>
        <v>101.73978333333334</v>
      </c>
      <c r="CN298" s="253">
        <f t="shared" si="332"/>
        <v>1</v>
      </c>
      <c r="CO298" s="242">
        <f t="shared" si="333"/>
        <v>91.231381999999996</v>
      </c>
      <c r="CP298" s="242">
        <f t="shared" si="334"/>
        <v>1</v>
      </c>
      <c r="CQ298" s="242">
        <f t="shared" si="335"/>
        <v>45.388143999999997</v>
      </c>
      <c r="CR298" s="242">
        <f>IF(AV298&gt;0,'Look Ups'!$L$3,0)</f>
        <v>1</v>
      </c>
      <c r="CS298" s="242">
        <f t="shared" si="336"/>
        <v>0</v>
      </c>
      <c r="CT298" s="242">
        <f t="shared" si="346"/>
        <v>0</v>
      </c>
      <c r="CU298" s="242">
        <f t="shared" si="347"/>
        <v>0</v>
      </c>
      <c r="CV298" s="251">
        <f t="shared" si="348"/>
        <v>0</v>
      </c>
      <c r="CW298" s="254" t="str">
        <f t="shared" si="337"/>
        <v>valid</v>
      </c>
      <c r="CX298" s="245" t="str">
        <f t="shared" si="338"/>
        <v>valid</v>
      </c>
      <c r="CY298" s="246" t="str">
        <f t="shared" si="351"/>
        <v>MGScrSp</v>
      </c>
      <c r="CZ298" s="253">
        <f t="shared" si="339"/>
        <v>136.61952600000001</v>
      </c>
      <c r="DA298" s="242">
        <f t="shared" si="340"/>
        <v>48.56515679999999</v>
      </c>
      <c r="DB298" s="242">
        <f t="shared" si="341"/>
        <v>19.723073766666666</v>
      </c>
      <c r="DC298" s="242">
        <f t="shared" si="342"/>
        <v>47.75573751999999</v>
      </c>
      <c r="DD298" s="242">
        <f t="shared" si="343"/>
        <v>3.0993401633333337</v>
      </c>
      <c r="DE298" s="251">
        <f t="shared" si="344"/>
        <v>141.570595704</v>
      </c>
      <c r="DF298" s="83">
        <f t="shared" si="319"/>
        <v>187.47460368333333</v>
      </c>
    </row>
    <row r="299" spans="2:255" ht="16.5" customHeight="1" x14ac:dyDescent="0.25">
      <c r="B299" s="210"/>
      <c r="C299" s="47" t="s">
        <v>905</v>
      </c>
      <c r="D299" s="48" t="s">
        <v>304</v>
      </c>
      <c r="E299" s="49" t="s">
        <v>907</v>
      </c>
      <c r="F299" s="50">
        <f t="shared" si="315"/>
        <v>1.1130517510361202</v>
      </c>
      <c r="G299" s="50" t="str">
        <f t="shared" ca="1" si="349"/>
        <v>Yes</v>
      </c>
      <c r="H299" s="51" t="str">
        <f t="shared" si="350"/>
        <v>Main - Genoa - Screacher - Spinnaker</v>
      </c>
      <c r="I299" s="52">
        <v>41494</v>
      </c>
      <c r="J299" s="52">
        <v>43859</v>
      </c>
      <c r="K299" s="53" t="s">
        <v>904</v>
      </c>
      <c r="L299" s="53" t="s">
        <v>299</v>
      </c>
      <c r="M299" s="54"/>
      <c r="N299" s="55" t="s">
        <v>149</v>
      </c>
      <c r="O299" s="55" t="s">
        <v>138</v>
      </c>
      <c r="P299" s="56"/>
      <c r="Q299" s="57">
        <v>9.9499999999999993</v>
      </c>
      <c r="R299" s="58"/>
      <c r="S299" s="59">
        <f t="shared" si="320"/>
        <v>0.24875</v>
      </c>
      <c r="T299" s="60">
        <v>0</v>
      </c>
      <c r="U299" s="60">
        <v>0</v>
      </c>
      <c r="V299" s="61">
        <f t="shared" si="321"/>
        <v>9.9499999999999993</v>
      </c>
      <c r="W299" s="62">
        <f>IF(RL&gt;0,IF(RL&gt;'Look Ups'!R$7,'Look Ups'!R$8,('Look Ups'!R$3*RL^3+'Look Ups'!R$4*RL^2+'Look Ups'!R$5*RL+'Look Ups'!R$6)),0)</f>
        <v>0.29842897087500003</v>
      </c>
      <c r="X299" s="63">
        <f>1284-12.5</f>
        <v>1271.5</v>
      </c>
      <c r="Y299" s="64"/>
      <c r="Z299" s="64"/>
      <c r="AA299" s="64"/>
      <c r="AB299" s="65">
        <f t="shared" si="322"/>
        <v>1271.5</v>
      </c>
      <c r="AC299" s="66">
        <f t="shared" si="323"/>
        <v>1271.5</v>
      </c>
      <c r="AD299" s="67" t="s">
        <v>129</v>
      </c>
      <c r="AE299" s="68" t="s">
        <v>130</v>
      </c>
      <c r="AF299" s="69" t="s">
        <v>131</v>
      </c>
      <c r="AG299" s="70">
        <f>IF(C299="",0,VLOOKUP(AD299,'Look Ups'!$B$3:$C$6,2,0)*VLOOKUP(AE299,'Look Ups'!$E$3:$F$5,2,0)*VLOOKUP(AF299,'Look Ups'!$H$3:$I$7,2,0))</f>
        <v>1</v>
      </c>
      <c r="AH299" s="71">
        <v>15.18</v>
      </c>
      <c r="AI299" s="60">
        <v>15</v>
      </c>
      <c r="AJ299" s="60">
        <v>3.81</v>
      </c>
      <c r="AK299" s="60">
        <v>2.0699999999999998</v>
      </c>
      <c r="AL299" s="60">
        <v>0.11</v>
      </c>
      <c r="AM299" s="60">
        <v>15.14</v>
      </c>
      <c r="AN299" s="60">
        <v>0.11</v>
      </c>
      <c r="AO299" s="60">
        <v>3.85</v>
      </c>
      <c r="AP299" s="60">
        <v>0.02</v>
      </c>
      <c r="AQ299" s="60">
        <v>0.6</v>
      </c>
      <c r="AR299" s="60" t="s">
        <v>132</v>
      </c>
      <c r="AS299" s="75">
        <v>0</v>
      </c>
      <c r="AT299" s="59">
        <f t="shared" si="324"/>
        <v>15.16</v>
      </c>
      <c r="AU299" s="59">
        <f t="shared" si="325"/>
        <v>3.4064999999999999</v>
      </c>
      <c r="AV299" s="72">
        <f>IF(C299="",0,(0.5*(_ML1*LPM)+0.5*(_ML1*HB)+0.66*(P*PR)+0.66*(_ML2*RDM)+0.66*(E*ER))*VLOOKUP(BATT,'Look Ups'!$N$3:$O$4,2,0))+2.4+0.083</f>
        <v>49.351183999999996</v>
      </c>
      <c r="AW299" s="73"/>
      <c r="AX299" s="74"/>
      <c r="AY299" s="71">
        <v>11.46</v>
      </c>
      <c r="AZ299" s="60">
        <v>3.42</v>
      </c>
      <c r="BA299" s="60">
        <v>3.55</v>
      </c>
      <c r="BB299" s="60">
        <v>0.12</v>
      </c>
      <c r="BC299" s="60">
        <v>11.13</v>
      </c>
      <c r="BD299" s="60">
        <v>10.66</v>
      </c>
      <c r="BE299" s="60"/>
      <c r="BF299" s="60">
        <v>7.0000000000000007E-2</v>
      </c>
      <c r="BG299" s="60">
        <v>-0.12</v>
      </c>
      <c r="BH299" s="75"/>
      <c r="BI299" s="72">
        <f t="shared" si="326"/>
        <v>19.484334000000004</v>
      </c>
      <c r="BJ299" s="76"/>
      <c r="BK299" s="77"/>
      <c r="BL299" s="78"/>
      <c r="BM299" s="78"/>
      <c r="BN299" s="77"/>
      <c r="BO299" s="78"/>
      <c r="BP299" s="78"/>
      <c r="BQ299" s="79">
        <f t="shared" si="327"/>
        <v>0</v>
      </c>
      <c r="BR299" s="80"/>
      <c r="BS299" s="77"/>
      <c r="BT299" s="77"/>
      <c r="BU299" s="77"/>
      <c r="BV299" s="77"/>
      <c r="BW299" s="77"/>
      <c r="BX299" s="77"/>
      <c r="BY299" s="72">
        <f t="shared" si="328"/>
        <v>0</v>
      </c>
      <c r="BZ299" s="73">
        <v>8.25</v>
      </c>
      <c r="CA299" s="60">
        <v>16.8</v>
      </c>
      <c r="CB299" s="60">
        <v>14.83</v>
      </c>
      <c r="CC299" s="60">
        <v>6.24</v>
      </c>
      <c r="CD299" s="65">
        <f t="shared" si="329"/>
        <v>75.63636363636364</v>
      </c>
      <c r="CE299" s="60">
        <v>0</v>
      </c>
      <c r="CF299" s="79">
        <f t="shared" si="330"/>
        <v>87.536025000000009</v>
      </c>
      <c r="CG299" s="71">
        <v>6.65</v>
      </c>
      <c r="CH299" s="60">
        <v>15.81</v>
      </c>
      <c r="CI299" s="60">
        <v>13.72</v>
      </c>
      <c r="CJ299" s="60">
        <v>3.33</v>
      </c>
      <c r="CK299" s="59">
        <f t="shared" si="345"/>
        <v>50.075187969924805</v>
      </c>
      <c r="CL299" s="60">
        <v>0</v>
      </c>
      <c r="CM299" s="72">
        <f t="shared" si="331"/>
        <v>49.142841666666669</v>
      </c>
      <c r="CN299" s="81">
        <f t="shared" si="332"/>
        <v>1</v>
      </c>
      <c r="CO299" s="59">
        <f t="shared" si="333"/>
        <v>52.757683999999998</v>
      </c>
      <c r="CP299" s="59">
        <f t="shared" si="334"/>
        <v>1</v>
      </c>
      <c r="CQ299" s="59">
        <f t="shared" si="335"/>
        <v>19.484334000000004</v>
      </c>
      <c r="CR299" s="59">
        <f>IF(AV299&gt;0,'Look Ups'!$L$3,0)</f>
        <v>1</v>
      </c>
      <c r="CS299" s="59">
        <f t="shared" si="336"/>
        <v>0</v>
      </c>
      <c r="CT299" s="59">
        <f t="shared" si="346"/>
        <v>0</v>
      </c>
      <c r="CU299" s="59">
        <f t="shared" si="347"/>
        <v>0</v>
      </c>
      <c r="CV299" s="79">
        <f t="shared" si="348"/>
        <v>0</v>
      </c>
      <c r="CW299" s="82" t="str">
        <f t="shared" si="337"/>
        <v>valid</v>
      </c>
      <c r="CX299" s="65" t="str">
        <f t="shared" si="338"/>
        <v>valid</v>
      </c>
      <c r="CY299" s="66" t="str">
        <f t="shared" si="351"/>
        <v>MGScrSp</v>
      </c>
      <c r="CZ299" s="81">
        <f t="shared" si="339"/>
        <v>72.242018000000002</v>
      </c>
      <c r="DA299" s="59">
        <f t="shared" si="340"/>
        <v>20.415507300000002</v>
      </c>
      <c r="DB299" s="59">
        <f t="shared" si="341"/>
        <v>10.380477683333332</v>
      </c>
      <c r="DC299" s="59">
        <f t="shared" si="342"/>
        <v>20.075248845000001</v>
      </c>
      <c r="DD299" s="59">
        <f t="shared" si="343"/>
        <v>1.6312179216666667</v>
      </c>
      <c r="DE299" s="79">
        <f t="shared" si="344"/>
        <v>75.835539800000006</v>
      </c>
      <c r="DF299" s="83">
        <f t="shared" si="319"/>
        <v>93.948484766666667</v>
      </c>
    </row>
    <row r="300" spans="2:255" ht="16.5" customHeight="1" x14ac:dyDescent="0.25">
      <c r="B300" s="47"/>
      <c r="C300" s="168" t="s">
        <v>804</v>
      </c>
      <c r="D300" s="169" t="s">
        <v>374</v>
      </c>
      <c r="E300" s="170" t="s">
        <v>375</v>
      </c>
      <c r="F300" s="50">
        <f t="shared" si="315"/>
        <v>0.97796376611098323</v>
      </c>
      <c r="G300" s="50" t="str">
        <f t="shared" ca="1" si="349"/>
        <v>No</v>
      </c>
      <c r="H300" s="51" t="str">
        <f t="shared" si="350"/>
        <v>Main - Genoa - Spinnaker</v>
      </c>
      <c r="I300" s="171">
        <v>38798</v>
      </c>
      <c r="J300" s="171"/>
      <c r="K300" s="172" t="s">
        <v>205</v>
      </c>
      <c r="L300" s="172" t="s">
        <v>387</v>
      </c>
      <c r="M300" s="171"/>
      <c r="N300" s="173" t="s">
        <v>575</v>
      </c>
      <c r="O300" s="173"/>
      <c r="P300" s="186"/>
      <c r="Q300" s="175">
        <v>8.58</v>
      </c>
      <c r="R300" s="78"/>
      <c r="S300" s="59">
        <f t="shared" si="320"/>
        <v>0.21450000000000002</v>
      </c>
      <c r="T300" s="176">
        <v>0.16</v>
      </c>
      <c r="U300" s="176">
        <v>0</v>
      </c>
      <c r="V300" s="61">
        <f t="shared" si="321"/>
        <v>8.42</v>
      </c>
      <c r="W300" s="62">
        <f>IF(RL&gt;0,IF(RL&gt;'Look Ups'!R$7,'Look Ups'!R$8,('Look Ups'!R$3*RL^3+'Look Ups'!R$4*RL^2+'Look Ups'!R$5*RL+'Look Ups'!R$6)),0)</f>
        <v>0.29513431370400001</v>
      </c>
      <c r="X300" s="177">
        <v>1280</v>
      </c>
      <c r="Y300" s="178"/>
      <c r="Z300" s="178"/>
      <c r="AA300" s="178"/>
      <c r="AB300" s="65">
        <f t="shared" si="322"/>
        <v>1280</v>
      </c>
      <c r="AC300" s="66">
        <f t="shared" si="323"/>
        <v>1280</v>
      </c>
      <c r="AD300" s="179" t="s">
        <v>129</v>
      </c>
      <c r="AE300" s="180" t="s">
        <v>130</v>
      </c>
      <c r="AF300" s="181" t="s">
        <v>131</v>
      </c>
      <c r="AG300" s="70">
        <f>IF(C300="",0,VLOOKUP(AD300,'Look Ups'!$B$3:$C$6,2,0)*VLOOKUP(AE300,'Look Ups'!$E$3:$F$5,2,0)*VLOOKUP(AF300,'Look Ups'!$H$3:$I$7,2,0))</f>
        <v>1</v>
      </c>
      <c r="AH300" s="80">
        <v>11.62</v>
      </c>
      <c r="AI300" s="77">
        <v>11.25</v>
      </c>
      <c r="AJ300" s="77">
        <v>3.7</v>
      </c>
      <c r="AK300" s="77">
        <v>2.02</v>
      </c>
      <c r="AL300" s="77">
        <v>0.59</v>
      </c>
      <c r="AM300" s="77">
        <v>11.19</v>
      </c>
      <c r="AN300" s="77">
        <v>0.1</v>
      </c>
      <c r="AO300" s="77">
        <v>3.85</v>
      </c>
      <c r="AP300" s="77">
        <v>-0.03</v>
      </c>
      <c r="AQ300" s="77"/>
      <c r="AR300" s="77" t="s">
        <v>132</v>
      </c>
      <c r="AS300" s="87">
        <v>0</v>
      </c>
      <c r="AT300" s="59">
        <f t="shared" si="324"/>
        <v>11.16</v>
      </c>
      <c r="AU300" s="59">
        <f t="shared" si="325"/>
        <v>0</v>
      </c>
      <c r="AV300" s="72">
        <f>IF(C300="",0,(0.5*(_ML1*LPM)+0.5*(_ML1*HB)+0.66*(P*PR)+0.66*(_ML2*RDM)+0.66*(E*ER))*VLOOKUP(BATT,'Look Ups'!$N$3:$O$4,2,0))</f>
        <v>38.276259999999994</v>
      </c>
      <c r="AW300" s="182"/>
      <c r="AX300" s="183"/>
      <c r="AY300" s="80">
        <v>10.15</v>
      </c>
      <c r="AZ300" s="77">
        <v>3.7</v>
      </c>
      <c r="BA300" s="77">
        <v>3.89</v>
      </c>
      <c r="BB300" s="77">
        <v>0.12</v>
      </c>
      <c r="BC300" s="77">
        <v>9.4600000000000009</v>
      </c>
      <c r="BD300" s="77"/>
      <c r="BE300" s="77"/>
      <c r="BF300" s="77">
        <v>0.25</v>
      </c>
      <c r="BG300" s="77">
        <v>0</v>
      </c>
      <c r="BH300" s="87">
        <v>0</v>
      </c>
      <c r="BI300" s="72">
        <f t="shared" si="326"/>
        <v>20.646488000000002</v>
      </c>
      <c r="BJ300" s="76"/>
      <c r="BK300" s="77"/>
      <c r="BL300" s="78"/>
      <c r="BM300" s="78"/>
      <c r="BN300" s="77"/>
      <c r="BO300" s="78"/>
      <c r="BP300" s="78"/>
      <c r="BQ300" s="79">
        <f t="shared" si="327"/>
        <v>0</v>
      </c>
      <c r="BR300" s="80"/>
      <c r="BS300" s="77"/>
      <c r="BT300" s="77"/>
      <c r="BU300" s="77"/>
      <c r="BV300" s="77"/>
      <c r="BW300" s="77"/>
      <c r="BX300" s="77"/>
      <c r="BY300" s="72">
        <f t="shared" si="328"/>
        <v>0</v>
      </c>
      <c r="BZ300" s="182">
        <v>8.8000000000000007</v>
      </c>
      <c r="CA300" s="77">
        <v>14.18</v>
      </c>
      <c r="CB300" s="77">
        <v>12.8</v>
      </c>
      <c r="CC300" s="77">
        <v>7.46</v>
      </c>
      <c r="CD300" s="65">
        <f t="shared" si="329"/>
        <v>84.772727272727266</v>
      </c>
      <c r="CE300" s="77">
        <v>0</v>
      </c>
      <c r="CF300" s="79">
        <f t="shared" si="330"/>
        <v>86.875600000000006</v>
      </c>
      <c r="CG300" s="80"/>
      <c r="CH300" s="77"/>
      <c r="CI300" s="77"/>
      <c r="CJ300" s="77"/>
      <c r="CK300" s="59" t="str">
        <f t="shared" si="345"/>
        <v/>
      </c>
      <c r="CL300" s="77">
        <v>0</v>
      </c>
      <c r="CM300" s="72">
        <f t="shared" si="331"/>
        <v>0</v>
      </c>
      <c r="CN300" s="81">
        <f t="shared" si="332"/>
        <v>1</v>
      </c>
      <c r="CO300" s="59">
        <f t="shared" si="333"/>
        <v>38.276259999999994</v>
      </c>
      <c r="CP300" s="59">
        <f t="shared" si="334"/>
        <v>1</v>
      </c>
      <c r="CQ300" s="59">
        <f t="shared" si="335"/>
        <v>20.646488000000002</v>
      </c>
      <c r="CR300" s="59">
        <f>IF(AV300&gt;0,'Look Ups'!$L$3,0)</f>
        <v>1</v>
      </c>
      <c r="CS300" s="59">
        <f t="shared" si="336"/>
        <v>0</v>
      </c>
      <c r="CT300" s="59">
        <f t="shared" si="346"/>
        <v>0</v>
      </c>
      <c r="CU300" s="59">
        <f t="shared" si="347"/>
        <v>0</v>
      </c>
      <c r="CV300" s="79">
        <f t="shared" si="348"/>
        <v>0</v>
      </c>
      <c r="CW300" s="82" t="str">
        <f t="shared" si="337"/>
        <v>-</v>
      </c>
      <c r="CX300" s="65" t="str">
        <f t="shared" si="338"/>
        <v>valid</v>
      </c>
      <c r="CY300" s="66" t="str">
        <f t="shared" si="351"/>
        <v>MGSp</v>
      </c>
      <c r="CZ300" s="81">
        <f t="shared" si="339"/>
        <v>58.922747999999999</v>
      </c>
      <c r="DA300" s="59">
        <f t="shared" si="340"/>
        <v>19.868733599999999</v>
      </c>
      <c r="DB300" s="59">
        <f t="shared" si="341"/>
        <v>0</v>
      </c>
      <c r="DC300" s="59">
        <f t="shared" si="342"/>
        <v>19.537588039999999</v>
      </c>
      <c r="DD300" s="59">
        <f t="shared" si="343"/>
        <v>0</v>
      </c>
      <c r="DE300" s="79">
        <f t="shared" si="344"/>
        <v>60.826763375999995</v>
      </c>
      <c r="DF300" s="83">
        <f t="shared" si="319"/>
        <v>78.791481599999997</v>
      </c>
    </row>
    <row r="301" spans="2:255" s="287" customFormat="1" ht="16.5" customHeight="1" x14ac:dyDescent="0.25">
      <c r="B301" s="168"/>
      <c r="C301" s="168" t="s">
        <v>805</v>
      </c>
      <c r="D301" s="169"/>
      <c r="E301" s="170" t="s">
        <v>806</v>
      </c>
      <c r="F301" s="50">
        <f t="shared" si="315"/>
        <v>0.78805044732315854</v>
      </c>
      <c r="G301" s="50" t="str">
        <f t="shared" ca="1" si="349"/>
        <v>No</v>
      </c>
      <c r="H301" s="51" t="str">
        <f t="shared" si="350"/>
        <v>Main - Genoa - Screacher - Spinnaker</v>
      </c>
      <c r="I301" s="171">
        <v>39525</v>
      </c>
      <c r="J301" s="171">
        <v>39525</v>
      </c>
      <c r="K301" s="172" t="s">
        <v>233</v>
      </c>
      <c r="L301" s="172" t="s">
        <v>219</v>
      </c>
      <c r="M301" s="171"/>
      <c r="N301" s="173" t="s">
        <v>149</v>
      </c>
      <c r="O301" s="173"/>
      <c r="P301" s="186"/>
      <c r="Q301" s="175">
        <v>15.05</v>
      </c>
      <c r="R301" s="78"/>
      <c r="S301" s="59">
        <f t="shared" si="320"/>
        <v>0.37625000000000003</v>
      </c>
      <c r="T301" s="176">
        <v>0.26</v>
      </c>
      <c r="U301" s="176">
        <v>0</v>
      </c>
      <c r="V301" s="61">
        <f t="shared" si="321"/>
        <v>14.790000000000001</v>
      </c>
      <c r="W301" s="62">
        <f>IF(RL&gt;0,IF(RL&gt;'Look Ups'!R$7,'Look Ups'!R$8,('Look Ups'!R$3*RL^3+'Look Ups'!R$4*RL^2+'Look Ups'!R$5*RL+'Look Ups'!R$6)),0)</f>
        <v>0.3</v>
      </c>
      <c r="X301" s="177">
        <f>7989+177</f>
        <v>8166</v>
      </c>
      <c r="Y301" s="178"/>
      <c r="Z301" s="178"/>
      <c r="AA301" s="178"/>
      <c r="AB301" s="65">
        <f t="shared" si="322"/>
        <v>8166</v>
      </c>
      <c r="AC301" s="66">
        <f t="shared" si="323"/>
        <v>8166</v>
      </c>
      <c r="AD301" s="179" t="s">
        <v>129</v>
      </c>
      <c r="AE301" s="180" t="s">
        <v>130</v>
      </c>
      <c r="AF301" s="181" t="s">
        <v>161</v>
      </c>
      <c r="AG301" s="70">
        <f>IF(C301="",0,VLOOKUP(AD301,'Look Ups'!$B$3:$C$6,2,0)*VLOOKUP(AE301,'Look Ups'!$E$3:$F$5,2,0)*VLOOKUP(AF301,'Look Ups'!$H$3:$I$7,2,0))</f>
        <v>0.99</v>
      </c>
      <c r="AH301" s="80">
        <v>17.079999999999998</v>
      </c>
      <c r="AI301" s="77">
        <v>15.09</v>
      </c>
      <c r="AJ301" s="77">
        <v>5</v>
      </c>
      <c r="AK301" s="77">
        <v>1.48</v>
      </c>
      <c r="AL301" s="77">
        <v>0.60000000000000009</v>
      </c>
      <c r="AM301" s="77">
        <v>16.43</v>
      </c>
      <c r="AN301" s="77">
        <v>0.16</v>
      </c>
      <c r="AO301" s="77">
        <v>5.22</v>
      </c>
      <c r="AP301" s="77">
        <v>0.03</v>
      </c>
      <c r="AQ301" s="77">
        <v>0</v>
      </c>
      <c r="AR301" s="77" t="s">
        <v>132</v>
      </c>
      <c r="AS301" s="87"/>
      <c r="AT301" s="59">
        <f t="shared" si="324"/>
        <v>16.46</v>
      </c>
      <c r="AU301" s="59">
        <f t="shared" si="325"/>
        <v>0</v>
      </c>
      <c r="AV301" s="72">
        <f>IF(C301="",0,(0.5*(_ML1*LPM)+0.5*(_ML1*HB)+0.66*(P*PR)+0.66*(_ML2*RDM)+0.66*(E*ER))*VLOOKUP(BATT,'Look Ups'!$N$3:$O$4,2,0))</f>
        <v>63.153203999999995</v>
      </c>
      <c r="AW301" s="182"/>
      <c r="AX301" s="183"/>
      <c r="AY301" s="80">
        <v>15.29</v>
      </c>
      <c r="AZ301" s="77">
        <v>6.17</v>
      </c>
      <c r="BA301" s="77">
        <v>7.07</v>
      </c>
      <c r="BB301" s="77">
        <v>0.1</v>
      </c>
      <c r="BC301" s="77">
        <v>13.22</v>
      </c>
      <c r="BD301" s="77"/>
      <c r="BE301" s="77"/>
      <c r="BF301" s="77">
        <v>-0.23</v>
      </c>
      <c r="BG301" s="77">
        <v>0.05</v>
      </c>
      <c r="BH301" s="87"/>
      <c r="BI301" s="72">
        <f t="shared" si="326"/>
        <v>46.134043999999996</v>
      </c>
      <c r="BJ301" s="76"/>
      <c r="BK301" s="77"/>
      <c r="BL301" s="78"/>
      <c r="BM301" s="78"/>
      <c r="BN301" s="77"/>
      <c r="BO301" s="78"/>
      <c r="BP301" s="78"/>
      <c r="BQ301" s="79">
        <f t="shared" si="327"/>
        <v>0</v>
      </c>
      <c r="BR301" s="80"/>
      <c r="BS301" s="77"/>
      <c r="BT301" s="77"/>
      <c r="BU301" s="77"/>
      <c r="BV301" s="77"/>
      <c r="BW301" s="77"/>
      <c r="BX301" s="77"/>
      <c r="BY301" s="72">
        <f t="shared" si="328"/>
        <v>0</v>
      </c>
      <c r="BZ301" s="182">
        <v>11</v>
      </c>
      <c r="CA301" s="77">
        <v>17.03</v>
      </c>
      <c r="CB301" s="77">
        <v>15.34</v>
      </c>
      <c r="CC301" s="77">
        <v>9.4</v>
      </c>
      <c r="CD301" s="65">
        <f t="shared" si="329"/>
        <v>85.454545454545467</v>
      </c>
      <c r="CE301" s="77"/>
      <c r="CF301" s="79">
        <f t="shared" si="330"/>
        <v>131.09850000000003</v>
      </c>
      <c r="CG301" s="80">
        <v>9.02</v>
      </c>
      <c r="CH301" s="77">
        <v>16.09</v>
      </c>
      <c r="CI301" s="77">
        <v>13.26</v>
      </c>
      <c r="CJ301" s="77">
        <v>4.7</v>
      </c>
      <c r="CK301" s="59">
        <f t="shared" si="345"/>
        <v>52.106430155210646</v>
      </c>
      <c r="CL301" s="77"/>
      <c r="CM301" s="72">
        <f t="shared" si="331"/>
        <v>68.043083333333342</v>
      </c>
      <c r="CN301" s="81">
        <f t="shared" si="332"/>
        <v>1</v>
      </c>
      <c r="CO301" s="59">
        <f t="shared" si="333"/>
        <v>63.153204000000002</v>
      </c>
      <c r="CP301" s="59">
        <f t="shared" si="334"/>
        <v>1</v>
      </c>
      <c r="CQ301" s="59">
        <f t="shared" si="335"/>
        <v>46.134043999999996</v>
      </c>
      <c r="CR301" s="59">
        <f>IF(AV301&gt;0,'Look Ups'!$L$3,0)</f>
        <v>1</v>
      </c>
      <c r="CS301" s="59">
        <f t="shared" si="336"/>
        <v>0</v>
      </c>
      <c r="CT301" s="59">
        <f t="shared" si="346"/>
        <v>0</v>
      </c>
      <c r="CU301" s="59">
        <f t="shared" si="347"/>
        <v>0</v>
      </c>
      <c r="CV301" s="79">
        <f t="shared" si="348"/>
        <v>0</v>
      </c>
      <c r="CW301" s="82" t="str">
        <f t="shared" si="337"/>
        <v>valid</v>
      </c>
      <c r="CX301" s="65" t="str">
        <f t="shared" si="338"/>
        <v>valid</v>
      </c>
      <c r="CY301" s="66" t="str">
        <f t="shared" si="351"/>
        <v>MGScrSp</v>
      </c>
      <c r="CZ301" s="81">
        <f t="shared" si="339"/>
        <v>109.28724800000001</v>
      </c>
      <c r="DA301" s="59">
        <f t="shared" si="340"/>
        <v>25.489336800000011</v>
      </c>
      <c r="DB301" s="59">
        <f t="shared" si="341"/>
        <v>7.6681637666666704</v>
      </c>
      <c r="DC301" s="59">
        <f t="shared" si="342"/>
        <v>25.06451452000001</v>
      </c>
      <c r="DD301" s="59">
        <f t="shared" si="343"/>
        <v>1.2049971633333341</v>
      </c>
      <c r="DE301" s="79">
        <f t="shared" si="344"/>
        <v>111.12531728</v>
      </c>
      <c r="DF301" s="83">
        <f t="shared" si="319"/>
        <v>135.55675968333335</v>
      </c>
      <c r="DG301" s="286"/>
      <c r="DH301" s="286"/>
      <c r="DI301" s="286"/>
      <c r="DJ301" s="286"/>
      <c r="DK301" s="286"/>
      <c r="DL301" s="286"/>
      <c r="DM301" s="286"/>
      <c r="DN301" s="286"/>
      <c r="DO301" s="286"/>
      <c r="DP301" s="286"/>
      <c r="DQ301" s="286"/>
      <c r="DR301" s="286"/>
      <c r="DS301" s="286"/>
      <c r="DT301" s="286"/>
      <c r="DU301" s="286"/>
      <c r="DV301" s="286"/>
      <c r="DW301" s="286"/>
      <c r="DX301" s="286"/>
      <c r="DY301" s="286"/>
      <c r="DZ301" s="286"/>
      <c r="EA301" s="286"/>
      <c r="EB301" s="286"/>
      <c r="EC301" s="286"/>
      <c r="ED301" s="286"/>
      <c r="EE301" s="286"/>
      <c r="EF301" s="286"/>
      <c r="EG301" s="286"/>
      <c r="EH301" s="286"/>
      <c r="EI301" s="286"/>
      <c r="EJ301" s="286"/>
      <c r="EK301" s="286"/>
      <c r="EL301" s="286"/>
      <c r="EM301" s="286"/>
      <c r="EN301" s="286"/>
      <c r="EO301" s="286"/>
      <c r="EP301" s="286"/>
      <c r="EQ301" s="286"/>
      <c r="ER301" s="286"/>
      <c r="ES301" s="286"/>
      <c r="ET301" s="286"/>
      <c r="EU301" s="286"/>
      <c r="EV301" s="286"/>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2:255" ht="16.5" customHeight="1" x14ac:dyDescent="0.25">
      <c r="B302" s="168"/>
      <c r="C302" s="168" t="s">
        <v>807</v>
      </c>
      <c r="D302" s="169" t="s">
        <v>493</v>
      </c>
      <c r="E302" s="170" t="s">
        <v>808</v>
      </c>
      <c r="F302" s="50">
        <f t="shared" si="315"/>
        <v>0.99658687808117163</v>
      </c>
      <c r="G302" s="50" t="str">
        <f t="shared" ca="1" si="349"/>
        <v>No</v>
      </c>
      <c r="H302" s="51" t="str">
        <f t="shared" si="350"/>
        <v>Main - Genoa - Spinnaker</v>
      </c>
      <c r="I302" s="171">
        <v>38723</v>
      </c>
      <c r="J302" s="171">
        <v>40504</v>
      </c>
      <c r="K302" s="172" t="s">
        <v>809</v>
      </c>
      <c r="L302" s="172" t="s">
        <v>126</v>
      </c>
      <c r="M302" s="171"/>
      <c r="N302" s="173" t="s">
        <v>541</v>
      </c>
      <c r="O302" s="173"/>
      <c r="P302" s="186"/>
      <c r="Q302" s="175">
        <v>9.67</v>
      </c>
      <c r="R302" s="78"/>
      <c r="S302" s="59">
        <f t="shared" si="320"/>
        <v>0.24175000000000002</v>
      </c>
      <c r="T302" s="176">
        <v>0.12</v>
      </c>
      <c r="U302" s="176">
        <v>0</v>
      </c>
      <c r="V302" s="61">
        <f t="shared" si="321"/>
        <v>9.5500000000000007</v>
      </c>
      <c r="W302" s="62">
        <f>IF(RL&gt;0,IF(RL&gt;'Look Ups'!R$7,'Look Ups'!R$8,('Look Ups'!R$3*RL^3+'Look Ups'!R$4*RL^2+'Look Ups'!R$5*RL+'Look Ups'!R$6)),0)</f>
        <v>0.297783967875</v>
      </c>
      <c r="X302" s="177">
        <v>1757</v>
      </c>
      <c r="Y302" s="178"/>
      <c r="Z302" s="178"/>
      <c r="AA302" s="178"/>
      <c r="AB302" s="65">
        <f t="shared" si="322"/>
        <v>1757</v>
      </c>
      <c r="AC302" s="66">
        <f t="shared" si="323"/>
        <v>1757</v>
      </c>
      <c r="AD302" s="179" t="s">
        <v>129</v>
      </c>
      <c r="AE302" s="180" t="s">
        <v>130</v>
      </c>
      <c r="AF302" s="181" t="s">
        <v>131</v>
      </c>
      <c r="AG302" s="70">
        <f>IF(C302="",0,VLOOKUP(AD302,'Look Ups'!$B$3:$C$6,2,0)*VLOOKUP(AE302,'Look Ups'!$E$3:$F$5,2,0)*VLOOKUP(AF302,'Look Ups'!$H$3:$I$7,2,0))</f>
        <v>1</v>
      </c>
      <c r="AH302" s="80">
        <v>13.46</v>
      </c>
      <c r="AI302" s="77">
        <v>13.24</v>
      </c>
      <c r="AJ302" s="77">
        <v>4.05</v>
      </c>
      <c r="AK302" s="77">
        <v>1.6800000000000002</v>
      </c>
      <c r="AL302" s="77">
        <v>0.32500000000000001</v>
      </c>
      <c r="AM302" s="77">
        <v>13.66</v>
      </c>
      <c r="AN302" s="77">
        <v>0.14000000000000001</v>
      </c>
      <c r="AO302" s="77">
        <v>4.09</v>
      </c>
      <c r="AP302" s="77">
        <v>0.03</v>
      </c>
      <c r="AQ302" s="77">
        <v>0.51</v>
      </c>
      <c r="AR302" s="77" t="s">
        <v>132</v>
      </c>
      <c r="AS302" s="87">
        <v>0</v>
      </c>
      <c r="AT302" s="59">
        <f t="shared" si="324"/>
        <v>13.69</v>
      </c>
      <c r="AU302" s="59">
        <f t="shared" si="325"/>
        <v>2.6124750000000003</v>
      </c>
      <c r="AV302" s="72">
        <f>IF(C302="",0,(0.5*(_ML1*LPM)+0.5*(_ML1*HB)+0.66*(P*PR)+0.66*(_ML2*RDM)+0.66*(E*ER))*VLOOKUP(BATT,'Look Ups'!$N$3:$O$4,2,0))</f>
        <v>42.746045999999993</v>
      </c>
      <c r="AW302" s="182"/>
      <c r="AX302" s="183"/>
      <c r="AY302" s="80">
        <v>12.3</v>
      </c>
      <c r="AZ302" s="77">
        <v>3.24</v>
      </c>
      <c r="BA302" s="77">
        <v>3.53</v>
      </c>
      <c r="BB302" s="77">
        <v>0.13</v>
      </c>
      <c r="BC302" s="77">
        <v>11.37</v>
      </c>
      <c r="BD302" s="77"/>
      <c r="BE302" s="77"/>
      <c r="BF302" s="77">
        <v>0.14499999999999999</v>
      </c>
      <c r="BG302" s="77">
        <v>0</v>
      </c>
      <c r="BH302" s="87">
        <v>0</v>
      </c>
      <c r="BI302" s="72">
        <f t="shared" si="326"/>
        <v>21.316983</v>
      </c>
      <c r="BJ302" s="76"/>
      <c r="BK302" s="77"/>
      <c r="BL302" s="78"/>
      <c r="BM302" s="78"/>
      <c r="BN302" s="77"/>
      <c r="BO302" s="78"/>
      <c r="BP302" s="78"/>
      <c r="BQ302" s="79">
        <f t="shared" si="327"/>
        <v>0</v>
      </c>
      <c r="BR302" s="80"/>
      <c r="BS302" s="77"/>
      <c r="BT302" s="77"/>
      <c r="BU302" s="77"/>
      <c r="BV302" s="77"/>
      <c r="BW302" s="77"/>
      <c r="BX302" s="77"/>
      <c r="BY302" s="72">
        <f t="shared" si="328"/>
        <v>0</v>
      </c>
      <c r="BZ302" s="182">
        <v>9.35</v>
      </c>
      <c r="CA302" s="77">
        <v>17.05</v>
      </c>
      <c r="CB302" s="77">
        <v>14.66</v>
      </c>
      <c r="CC302" s="77">
        <v>8.9</v>
      </c>
      <c r="CD302" s="65">
        <f t="shared" si="329"/>
        <v>95.18716577540107</v>
      </c>
      <c r="CE302" s="77">
        <v>0</v>
      </c>
      <c r="CF302" s="79">
        <f t="shared" si="330"/>
        <v>118.78037500000001</v>
      </c>
      <c r="CG302" s="80"/>
      <c r="CH302" s="77"/>
      <c r="CI302" s="77"/>
      <c r="CJ302" s="77"/>
      <c r="CK302" s="59" t="str">
        <f t="shared" si="345"/>
        <v/>
      </c>
      <c r="CL302" s="77">
        <v>0</v>
      </c>
      <c r="CM302" s="72">
        <f t="shared" si="331"/>
        <v>0</v>
      </c>
      <c r="CN302" s="81">
        <f t="shared" si="332"/>
        <v>1</v>
      </c>
      <c r="CO302" s="59">
        <f t="shared" si="333"/>
        <v>45.358520999999996</v>
      </c>
      <c r="CP302" s="59">
        <f t="shared" si="334"/>
        <v>1</v>
      </c>
      <c r="CQ302" s="59">
        <f t="shared" si="335"/>
        <v>21.316983</v>
      </c>
      <c r="CR302" s="59">
        <f>IF(AV302&gt;0,'Look Ups'!$L$3,0)</f>
        <v>1</v>
      </c>
      <c r="CS302" s="59">
        <f t="shared" si="336"/>
        <v>0</v>
      </c>
      <c r="CT302" s="59">
        <f t="shared" si="346"/>
        <v>0</v>
      </c>
      <c r="CU302" s="59">
        <f t="shared" si="347"/>
        <v>0</v>
      </c>
      <c r="CV302" s="79">
        <f t="shared" si="348"/>
        <v>0</v>
      </c>
      <c r="CW302" s="82" t="str">
        <f t="shared" si="337"/>
        <v>-</v>
      </c>
      <c r="CX302" s="65" t="str">
        <f t="shared" si="338"/>
        <v>valid</v>
      </c>
      <c r="CY302" s="66" t="str">
        <f t="shared" si="351"/>
        <v>MGSp</v>
      </c>
      <c r="CZ302" s="81">
        <f t="shared" si="339"/>
        <v>66.675503999999989</v>
      </c>
      <c r="DA302" s="59">
        <f t="shared" si="340"/>
        <v>29.239017599999997</v>
      </c>
      <c r="DB302" s="59">
        <f t="shared" si="341"/>
        <v>0</v>
      </c>
      <c r="DC302" s="59">
        <f t="shared" si="342"/>
        <v>28.751700639999999</v>
      </c>
      <c r="DD302" s="59">
        <f t="shared" si="343"/>
        <v>0</v>
      </c>
      <c r="DE302" s="79">
        <f t="shared" si="344"/>
        <v>69.271990103999983</v>
      </c>
      <c r="DF302" s="83">
        <f t="shared" ref="DF302:DF315" si="352">IF(CY302="MG",DE302,IF(CY302="MGScr",RAMG+RASCO,IF(CY302="MGSp",RAMG+RASPO,IF(CY302="MGScrSp",RAMG+RASPSC+RASCR,0))))+RSAST+RSAD+RSAMZ+RSA2M</f>
        <v>95.914521599999986</v>
      </c>
    </row>
    <row r="303" spans="2:255" ht="16.5" customHeight="1" x14ac:dyDescent="0.25">
      <c r="B303" s="168"/>
      <c r="C303" s="47" t="s">
        <v>500</v>
      </c>
      <c r="D303" s="48" t="s">
        <v>501</v>
      </c>
      <c r="E303" s="49" t="s">
        <v>502</v>
      </c>
      <c r="F303" s="50">
        <f t="shared" si="315"/>
        <v>0.78759539118298127</v>
      </c>
      <c r="G303" s="50" t="str">
        <f t="shared" ca="1" si="349"/>
        <v>No</v>
      </c>
      <c r="H303" s="51" t="str">
        <f t="shared" si="350"/>
        <v>Main - Genoa - Screacher - Spinnaker</v>
      </c>
      <c r="I303" s="52">
        <v>38983</v>
      </c>
      <c r="J303" s="52">
        <v>39353</v>
      </c>
      <c r="K303" s="53" t="s">
        <v>153</v>
      </c>
      <c r="L303" s="53" t="s">
        <v>390</v>
      </c>
      <c r="M303" s="54"/>
      <c r="N303" s="55" t="s">
        <v>127</v>
      </c>
      <c r="O303" s="55" t="s">
        <v>138</v>
      </c>
      <c r="P303" s="56"/>
      <c r="Q303" s="57">
        <v>7.74</v>
      </c>
      <c r="R303" s="58"/>
      <c r="S303" s="59">
        <f t="shared" si="320"/>
        <v>0.19350000000000001</v>
      </c>
      <c r="T303" s="60">
        <v>0.14000000000000001</v>
      </c>
      <c r="U303" s="60">
        <v>0</v>
      </c>
      <c r="V303" s="61">
        <f t="shared" si="321"/>
        <v>7.6000000000000005</v>
      </c>
      <c r="W303" s="62">
        <f>IF(RL&gt;0,IF(RL&gt;'Look Ups'!R$7,'Look Ups'!R$8,('Look Ups'!R$3*RL^3+'Look Ups'!R$4*RL^2+'Look Ups'!R$5*RL+'Look Ups'!R$6)),0)</f>
        <v>0.29232220800000003</v>
      </c>
      <c r="X303" s="63">
        <v>1270</v>
      </c>
      <c r="Y303" s="64"/>
      <c r="Z303" s="64"/>
      <c r="AA303" s="64"/>
      <c r="AB303" s="65">
        <f t="shared" si="322"/>
        <v>1270</v>
      </c>
      <c r="AC303" s="66">
        <f t="shared" si="323"/>
        <v>1270</v>
      </c>
      <c r="AD303" s="67" t="s">
        <v>154</v>
      </c>
      <c r="AE303" s="68" t="s">
        <v>130</v>
      </c>
      <c r="AF303" s="69" t="s">
        <v>131</v>
      </c>
      <c r="AG303" s="70">
        <f>IF(C303="",0,VLOOKUP(AD303,'Look Ups'!$B$3:$C$6,2,0)*VLOOKUP(AE303,'Look Ups'!$E$3:$F$5,2,0)*VLOOKUP(AF303,'Look Ups'!$H$3:$I$7,2,0))</f>
        <v>0.99</v>
      </c>
      <c r="AH303" s="71">
        <v>9.7799999999999994</v>
      </c>
      <c r="AI303" s="60">
        <v>9.49</v>
      </c>
      <c r="AJ303" s="60">
        <v>3.04</v>
      </c>
      <c r="AK303" s="60">
        <v>0.92500000000000004</v>
      </c>
      <c r="AL303" s="60">
        <v>0.57999999999999996</v>
      </c>
      <c r="AM303" s="60">
        <v>9.42</v>
      </c>
      <c r="AN303" s="60">
        <v>0.08</v>
      </c>
      <c r="AO303" s="60">
        <v>3.15</v>
      </c>
      <c r="AP303" s="60">
        <v>2.5000000000000001E-2</v>
      </c>
      <c r="AQ303" s="60">
        <v>0.47</v>
      </c>
      <c r="AR303" s="60" t="s">
        <v>132</v>
      </c>
      <c r="AS303" s="75"/>
      <c r="AT303" s="59">
        <f t="shared" si="324"/>
        <v>9.4450000000000003</v>
      </c>
      <c r="AU303" s="59">
        <f t="shared" si="325"/>
        <v>1.6602749999999997</v>
      </c>
      <c r="AV303" s="72">
        <f>IF(C303="",0,(0.5*(_ML1*LPM)+0.5*(_ML1*HB)+0.66*(P*PR)+0.66*(_ML2*RDM)+0.66*(E*ER))*VLOOKUP(BATT,'Look Ups'!$N$3:$O$4,2,0))</f>
        <v>23.570972999999995</v>
      </c>
      <c r="AW303" s="73"/>
      <c r="AX303" s="74"/>
      <c r="AY303" s="71">
        <v>8.85</v>
      </c>
      <c r="AZ303" s="60">
        <v>2.6</v>
      </c>
      <c r="BA303" s="60">
        <v>3.05</v>
      </c>
      <c r="BB303" s="60">
        <v>0.12</v>
      </c>
      <c r="BC303" s="60">
        <v>7.77</v>
      </c>
      <c r="BD303" s="60"/>
      <c r="BE303" s="60"/>
      <c r="BF303" s="60">
        <v>0.13</v>
      </c>
      <c r="BG303" s="60">
        <v>0</v>
      </c>
      <c r="BH303" s="75">
        <v>0</v>
      </c>
      <c r="BI303" s="72">
        <f t="shared" si="326"/>
        <v>12.413226</v>
      </c>
      <c r="BJ303" s="76"/>
      <c r="BK303" s="77"/>
      <c r="BL303" s="78"/>
      <c r="BM303" s="78"/>
      <c r="BN303" s="77"/>
      <c r="BO303" s="78"/>
      <c r="BP303" s="78"/>
      <c r="BQ303" s="79">
        <f t="shared" si="327"/>
        <v>0</v>
      </c>
      <c r="BR303" s="80"/>
      <c r="BS303" s="77"/>
      <c r="BT303" s="77"/>
      <c r="BU303" s="77"/>
      <c r="BV303" s="77"/>
      <c r="BW303" s="77"/>
      <c r="BX303" s="77"/>
      <c r="BY303" s="72">
        <f t="shared" si="328"/>
        <v>0</v>
      </c>
      <c r="BZ303" s="73">
        <v>6.59</v>
      </c>
      <c r="CA303" s="60">
        <v>11.68</v>
      </c>
      <c r="CB303" s="60">
        <v>10.52</v>
      </c>
      <c r="CC303" s="60">
        <v>5.8</v>
      </c>
      <c r="CD303" s="65">
        <f t="shared" si="329"/>
        <v>88.012139605462821</v>
      </c>
      <c r="CE303" s="60">
        <v>0</v>
      </c>
      <c r="CF303" s="79">
        <f t="shared" si="330"/>
        <v>55.111499999999999</v>
      </c>
      <c r="CG303" s="71">
        <v>5.99</v>
      </c>
      <c r="CH303" s="60">
        <v>9.89</v>
      </c>
      <c r="CI303" s="60">
        <v>8.82</v>
      </c>
      <c r="CJ303" s="60">
        <v>3.06</v>
      </c>
      <c r="CK303" s="59">
        <f t="shared" si="345"/>
        <v>51.085141903171952</v>
      </c>
      <c r="CL303" s="60">
        <v>0</v>
      </c>
      <c r="CM303" s="72">
        <f t="shared" si="331"/>
        <v>28.423608333333334</v>
      </c>
      <c r="CN303" s="81">
        <f t="shared" si="332"/>
        <v>1</v>
      </c>
      <c r="CO303" s="59">
        <f t="shared" si="333"/>
        <v>25.231247999999994</v>
      </c>
      <c r="CP303" s="59">
        <f t="shared" si="334"/>
        <v>1</v>
      </c>
      <c r="CQ303" s="59">
        <f t="shared" si="335"/>
        <v>12.413226</v>
      </c>
      <c r="CR303" s="59">
        <f>IF(AV303&gt;0,'Look Ups'!$L$3,0)</f>
        <v>1</v>
      </c>
      <c r="CS303" s="59">
        <f t="shared" si="336"/>
        <v>0</v>
      </c>
      <c r="CT303" s="59">
        <f t="shared" si="346"/>
        <v>0</v>
      </c>
      <c r="CU303" s="59">
        <f t="shared" si="347"/>
        <v>0</v>
      </c>
      <c r="CV303" s="79">
        <f t="shared" si="348"/>
        <v>0</v>
      </c>
      <c r="CW303" s="82" t="str">
        <f t="shared" si="337"/>
        <v>valid</v>
      </c>
      <c r="CX303" s="65" t="str">
        <f t="shared" si="338"/>
        <v>valid</v>
      </c>
      <c r="CY303" s="66" t="str">
        <f t="shared" si="351"/>
        <v>MGScrSp</v>
      </c>
      <c r="CZ303" s="81">
        <f t="shared" si="339"/>
        <v>37.644473999999995</v>
      </c>
      <c r="DA303" s="59">
        <f t="shared" si="340"/>
        <v>12.8094822</v>
      </c>
      <c r="DB303" s="59">
        <f t="shared" si="341"/>
        <v>5.6036338166666662</v>
      </c>
      <c r="DC303" s="59">
        <f t="shared" si="342"/>
        <v>12.595990829999998</v>
      </c>
      <c r="DD303" s="59">
        <f t="shared" si="343"/>
        <v>0.88057102833333334</v>
      </c>
      <c r="DE303" s="79">
        <f t="shared" si="344"/>
        <v>39.028820375999992</v>
      </c>
      <c r="DF303" s="83">
        <f t="shared" si="352"/>
        <v>51.121035858333329</v>
      </c>
    </row>
    <row r="304" spans="2:255" ht="16.5" customHeight="1" x14ac:dyDescent="0.25">
      <c r="B304" s="47"/>
      <c r="C304" s="168" t="s">
        <v>810</v>
      </c>
      <c r="D304" s="169" t="s">
        <v>253</v>
      </c>
      <c r="E304" s="170" t="s">
        <v>811</v>
      </c>
      <c r="F304" s="50">
        <f t="shared" si="315"/>
        <v>0.76080801013474597</v>
      </c>
      <c r="G304" s="50" t="str">
        <f t="shared" ca="1" si="349"/>
        <v>No</v>
      </c>
      <c r="H304" s="51" t="str">
        <f t="shared" si="350"/>
        <v>Main - Genoa - Screacher</v>
      </c>
      <c r="I304" s="171">
        <v>39569</v>
      </c>
      <c r="J304" s="171"/>
      <c r="K304" s="172" t="s">
        <v>255</v>
      </c>
      <c r="L304" s="172"/>
      <c r="M304" s="171"/>
      <c r="N304" s="173" t="s">
        <v>537</v>
      </c>
      <c r="O304" s="173"/>
      <c r="P304" s="186">
        <v>6.88</v>
      </c>
      <c r="Q304" s="175">
        <v>9.5</v>
      </c>
      <c r="R304" s="78"/>
      <c r="S304" s="59">
        <f t="shared" si="320"/>
        <v>0.23750000000000002</v>
      </c>
      <c r="T304" s="176">
        <v>0.09</v>
      </c>
      <c r="U304" s="176">
        <v>0</v>
      </c>
      <c r="V304" s="61">
        <f t="shared" si="321"/>
        <v>9.41</v>
      </c>
      <c r="W304" s="62">
        <f>IF(RL&gt;0,IF(RL&gt;'Look Ups'!R$7,'Look Ups'!R$8,('Look Ups'!R$3*RL^3+'Look Ups'!R$4*RL^2+'Look Ups'!R$5*RL+'Look Ups'!R$6)),0)</f>
        <v>0.29752450149300003</v>
      </c>
      <c r="X304" s="177">
        <v>2350</v>
      </c>
      <c r="Y304" s="178">
        <v>0</v>
      </c>
      <c r="Z304" s="178"/>
      <c r="AA304" s="178"/>
      <c r="AB304" s="65">
        <f t="shared" si="322"/>
        <v>2350</v>
      </c>
      <c r="AC304" s="66">
        <f t="shared" si="323"/>
        <v>2350</v>
      </c>
      <c r="AD304" s="179" t="s">
        <v>129</v>
      </c>
      <c r="AE304" s="180" t="s">
        <v>130</v>
      </c>
      <c r="AF304" s="181" t="s">
        <v>131</v>
      </c>
      <c r="AG304" s="70">
        <f>IF(C304="",0,VLOOKUP(AD304,'Look Ups'!$B$3:$C$6,2,0)*VLOOKUP(AE304,'Look Ups'!$E$3:$F$5,2,0)*VLOOKUP(AF304,'Look Ups'!$H$3:$I$7,2,0))</f>
        <v>1</v>
      </c>
      <c r="AH304" s="80">
        <v>11.8</v>
      </c>
      <c r="AI304" s="77">
        <v>11.53</v>
      </c>
      <c r="AJ304" s="77">
        <v>4</v>
      </c>
      <c r="AK304" s="77">
        <v>1.02</v>
      </c>
      <c r="AL304" s="77">
        <v>0.67</v>
      </c>
      <c r="AM304" s="77">
        <v>11.04</v>
      </c>
      <c r="AN304" s="77">
        <v>0.09</v>
      </c>
      <c r="AO304" s="77">
        <v>4.2699999999999996</v>
      </c>
      <c r="AP304" s="77">
        <v>0</v>
      </c>
      <c r="AQ304" s="77">
        <v>0</v>
      </c>
      <c r="AR304" s="77" t="s">
        <v>132</v>
      </c>
      <c r="AS304" s="87">
        <v>0</v>
      </c>
      <c r="AT304" s="59">
        <f t="shared" si="324"/>
        <v>11.04</v>
      </c>
      <c r="AU304" s="59">
        <f t="shared" si="325"/>
        <v>0</v>
      </c>
      <c r="AV304" s="72">
        <f>IF(C304="",0,(0.5*(_ML1*LPM)+0.5*(_ML1*HB)+0.66*(P*PR)+0.66*(_ML2*RDM)+0.66*(E*ER))*VLOOKUP(BATT,'Look Ups'!$N$3:$O$4,2,0))</f>
        <v>35.372342000000003</v>
      </c>
      <c r="AW304" s="182"/>
      <c r="AX304" s="183"/>
      <c r="AY304" s="80">
        <v>10.42</v>
      </c>
      <c r="AZ304" s="77">
        <v>3.49</v>
      </c>
      <c r="BA304" s="77">
        <v>3.76</v>
      </c>
      <c r="BB304" s="77">
        <v>0.08</v>
      </c>
      <c r="BC304" s="77">
        <v>9.68</v>
      </c>
      <c r="BD304" s="77"/>
      <c r="BE304" s="77"/>
      <c r="BF304" s="77">
        <v>0.02</v>
      </c>
      <c r="BG304" s="77">
        <v>-0.13</v>
      </c>
      <c r="BH304" s="87">
        <v>0</v>
      </c>
      <c r="BI304" s="72">
        <f t="shared" si="326"/>
        <v>17.615168000000001</v>
      </c>
      <c r="BJ304" s="76"/>
      <c r="BK304" s="77"/>
      <c r="BL304" s="78"/>
      <c r="BM304" s="78"/>
      <c r="BN304" s="77"/>
      <c r="BO304" s="78"/>
      <c r="BP304" s="78"/>
      <c r="BQ304" s="79">
        <f t="shared" si="327"/>
        <v>0</v>
      </c>
      <c r="BR304" s="80"/>
      <c r="BS304" s="77"/>
      <c r="BT304" s="77"/>
      <c r="BU304" s="77"/>
      <c r="BV304" s="77"/>
      <c r="BW304" s="77"/>
      <c r="BX304" s="77"/>
      <c r="BY304" s="72">
        <f t="shared" si="328"/>
        <v>0</v>
      </c>
      <c r="BZ304" s="182"/>
      <c r="CA304" s="77"/>
      <c r="CB304" s="77"/>
      <c r="CC304" s="77"/>
      <c r="CD304" s="65" t="str">
        <f t="shared" si="329"/>
        <v/>
      </c>
      <c r="CE304" s="77">
        <v>0</v>
      </c>
      <c r="CF304" s="79">
        <f t="shared" si="330"/>
        <v>0</v>
      </c>
      <c r="CG304" s="80">
        <v>7.53</v>
      </c>
      <c r="CH304" s="77">
        <v>11.62</v>
      </c>
      <c r="CI304" s="77">
        <v>10.23</v>
      </c>
      <c r="CJ304" s="77">
        <v>4.32</v>
      </c>
      <c r="CK304" s="59">
        <f t="shared" si="345"/>
        <v>57.370517928286858</v>
      </c>
      <c r="CL304" s="77">
        <v>0</v>
      </c>
      <c r="CM304" s="72">
        <f t="shared" si="331"/>
        <v>45.174875000000007</v>
      </c>
      <c r="CN304" s="81">
        <f t="shared" si="332"/>
        <v>1</v>
      </c>
      <c r="CO304" s="59">
        <f t="shared" si="333"/>
        <v>35.372342000000003</v>
      </c>
      <c r="CP304" s="59">
        <f t="shared" si="334"/>
        <v>1</v>
      </c>
      <c r="CQ304" s="59">
        <f t="shared" si="335"/>
        <v>17.615168000000001</v>
      </c>
      <c r="CR304" s="59">
        <f>IF(AV304&gt;0,'Look Ups'!$L$3,0)</f>
        <v>1</v>
      </c>
      <c r="CS304" s="59">
        <f t="shared" si="336"/>
        <v>0</v>
      </c>
      <c r="CT304" s="59">
        <f t="shared" si="346"/>
        <v>0</v>
      </c>
      <c r="CU304" s="59">
        <f t="shared" si="347"/>
        <v>0</v>
      </c>
      <c r="CV304" s="79">
        <f t="shared" si="348"/>
        <v>0</v>
      </c>
      <c r="CW304" s="82" t="str">
        <f t="shared" si="337"/>
        <v>valid</v>
      </c>
      <c r="CX304" s="65" t="str">
        <f t="shared" si="338"/>
        <v>-</v>
      </c>
      <c r="CY304" s="66" t="str">
        <f t="shared" si="351"/>
        <v>MGScr</v>
      </c>
      <c r="CZ304" s="81">
        <f t="shared" si="339"/>
        <v>52.98751</v>
      </c>
      <c r="DA304" s="59">
        <f t="shared" si="340"/>
        <v>0</v>
      </c>
      <c r="DB304" s="59">
        <f t="shared" si="341"/>
        <v>9.6458974500000014</v>
      </c>
      <c r="DC304" s="59">
        <f t="shared" si="342"/>
        <v>0</v>
      </c>
      <c r="DD304" s="59">
        <f t="shared" si="343"/>
        <v>1.5157838850000003</v>
      </c>
      <c r="DE304" s="79">
        <f t="shared" si="344"/>
        <v>54.905284792000003</v>
      </c>
      <c r="DF304" s="83">
        <f t="shared" si="352"/>
        <v>62.63340745</v>
      </c>
    </row>
    <row r="305" spans="2:110" ht="16.5" customHeight="1" x14ac:dyDescent="0.25">
      <c r="B305" s="168"/>
      <c r="C305" s="47" t="s">
        <v>911</v>
      </c>
      <c r="D305" s="48" t="s">
        <v>912</v>
      </c>
      <c r="E305" s="49" t="s">
        <v>913</v>
      </c>
      <c r="F305" s="50">
        <f t="shared" si="315"/>
        <v>0.80684962931783077</v>
      </c>
      <c r="G305" s="50" t="str">
        <f t="shared" ca="1" si="349"/>
        <v>Yes</v>
      </c>
      <c r="H305" s="51" t="str">
        <f t="shared" si="350"/>
        <v>Main - Genoa - Screacher</v>
      </c>
      <c r="I305" s="52">
        <v>43002</v>
      </c>
      <c r="J305" s="52">
        <v>43002</v>
      </c>
      <c r="K305" s="53" t="s">
        <v>849</v>
      </c>
      <c r="L305" s="53" t="s">
        <v>841</v>
      </c>
      <c r="M305" s="54"/>
      <c r="N305" s="55" t="s">
        <v>127</v>
      </c>
      <c r="O305" s="55"/>
      <c r="P305" s="56"/>
      <c r="Q305" s="57">
        <v>4.4000000000000004</v>
      </c>
      <c r="R305" s="58"/>
      <c r="S305" s="59">
        <f t="shared" si="320"/>
        <v>0.11000000000000001</v>
      </c>
      <c r="T305" s="60"/>
      <c r="U305" s="60"/>
      <c r="V305" s="61">
        <f t="shared" si="321"/>
        <v>4.4000000000000004</v>
      </c>
      <c r="W305" s="62">
        <f>IF(RL&gt;0,IF(RL&gt;'Look Ups'!R$7,'Look Ups'!R$8,('Look Ups'!R$3*RL^3+'Look Ups'!R$4*RL^2+'Look Ups'!R$5*RL+'Look Ups'!R$6)),0)</f>
        <v>0.27200707200000002</v>
      </c>
      <c r="X305" s="63">
        <v>130</v>
      </c>
      <c r="Y305" s="64"/>
      <c r="Z305" s="64"/>
      <c r="AA305" s="64"/>
      <c r="AB305" s="65">
        <f t="shared" si="322"/>
        <v>130</v>
      </c>
      <c r="AC305" s="66">
        <f t="shared" si="323"/>
        <v>130</v>
      </c>
      <c r="AD305" s="67" t="s">
        <v>129</v>
      </c>
      <c r="AE305" s="68" t="s">
        <v>130</v>
      </c>
      <c r="AF305" s="69" t="s">
        <v>131</v>
      </c>
      <c r="AG305" s="70">
        <f>IF(C305="",0,VLOOKUP(AD305,'Look Ups'!$B$3:$C$6,2,0)*VLOOKUP(AE305,'Look Ups'!$E$3:$F$5,2,0)*VLOOKUP(AF305,'Look Ups'!$H$3:$I$7,2,0))</f>
        <v>1</v>
      </c>
      <c r="AH305" s="71">
        <v>6.5</v>
      </c>
      <c r="AI305" s="60">
        <v>6</v>
      </c>
      <c r="AJ305" s="60">
        <v>1.85</v>
      </c>
      <c r="AK305" s="60">
        <v>0.4</v>
      </c>
      <c r="AL305" s="60">
        <v>0.27</v>
      </c>
      <c r="AM305" s="60">
        <v>6.5</v>
      </c>
      <c r="AN305" s="60"/>
      <c r="AO305" s="60">
        <v>1.8</v>
      </c>
      <c r="AP305" s="60"/>
      <c r="AQ305" s="60"/>
      <c r="AR305" s="60" t="s">
        <v>132</v>
      </c>
      <c r="AS305" s="75"/>
      <c r="AT305" s="59">
        <f t="shared" si="324"/>
        <v>6.5</v>
      </c>
      <c r="AU305" s="59">
        <f t="shared" si="325"/>
        <v>0</v>
      </c>
      <c r="AV305" s="72">
        <f>IF(C305="",0,(0.5*(_ML1*LPM)+0.5*(_ML1*HB)+0.66*(P*PR)+0.66*(_ML2*RDM)+0.66*(E*ER))*VLOOKUP(BATT,'Look Ups'!$N$3:$O$4,2,0))</f>
        <v>8.3817000000000004</v>
      </c>
      <c r="AW305" s="73"/>
      <c r="AX305" s="74"/>
      <c r="AY305" s="261">
        <v>4.4000000000000004</v>
      </c>
      <c r="AZ305" s="259">
        <v>1.45</v>
      </c>
      <c r="BA305" s="259">
        <v>1.55</v>
      </c>
      <c r="BB305" s="259">
        <v>0.05</v>
      </c>
      <c r="BC305" s="259">
        <v>4.3</v>
      </c>
      <c r="BD305" s="259"/>
      <c r="BE305" s="259"/>
      <c r="BF305" s="259"/>
      <c r="BG305" s="259"/>
      <c r="BH305" s="75"/>
      <c r="BI305" s="72">
        <f t="shared" si="326"/>
        <v>3.2411499999999998</v>
      </c>
      <c r="BJ305" s="76"/>
      <c r="BK305" s="77"/>
      <c r="BL305" s="78"/>
      <c r="BM305" s="78"/>
      <c r="BN305" s="77"/>
      <c r="BO305" s="78"/>
      <c r="BP305" s="78"/>
      <c r="BQ305" s="79">
        <f t="shared" si="327"/>
        <v>0</v>
      </c>
      <c r="BR305" s="80"/>
      <c r="BS305" s="77"/>
      <c r="BT305" s="77"/>
      <c r="BU305" s="77"/>
      <c r="BV305" s="77"/>
      <c r="BW305" s="77"/>
      <c r="BX305" s="77"/>
      <c r="BY305" s="72">
        <f t="shared" si="328"/>
        <v>0</v>
      </c>
      <c r="BZ305" s="73"/>
      <c r="CA305" s="60"/>
      <c r="CB305" s="60"/>
      <c r="CC305" s="60"/>
      <c r="CD305" s="65" t="str">
        <f t="shared" si="329"/>
        <v/>
      </c>
      <c r="CE305" s="60"/>
      <c r="CF305" s="79">
        <f t="shared" si="330"/>
        <v>0</v>
      </c>
      <c r="CG305" s="71">
        <v>2.8</v>
      </c>
      <c r="CH305" s="60">
        <v>6.2</v>
      </c>
      <c r="CI305" s="60">
        <v>5.3</v>
      </c>
      <c r="CJ305" s="60">
        <v>1.44</v>
      </c>
      <c r="CK305" s="59">
        <f t="shared" si="345"/>
        <v>51.428571428571438</v>
      </c>
      <c r="CL305" s="60"/>
      <c r="CM305" s="72">
        <f t="shared" si="331"/>
        <v>8.2033333333333331</v>
      </c>
      <c r="CN305" s="81">
        <f t="shared" si="332"/>
        <v>1</v>
      </c>
      <c r="CO305" s="59">
        <f t="shared" si="333"/>
        <v>8.3817000000000004</v>
      </c>
      <c r="CP305" s="59">
        <f t="shared" si="334"/>
        <v>1</v>
      </c>
      <c r="CQ305" s="59">
        <f t="shared" si="335"/>
        <v>3.2411499999999998</v>
      </c>
      <c r="CR305" s="59">
        <f>IF(AV305&gt;0,'Look Ups'!$L$3,0)</f>
        <v>1</v>
      </c>
      <c r="CS305" s="59">
        <f t="shared" si="336"/>
        <v>0</v>
      </c>
      <c r="CT305" s="59">
        <f t="shared" si="346"/>
        <v>0</v>
      </c>
      <c r="CU305" s="59">
        <f t="shared" si="347"/>
        <v>0</v>
      </c>
      <c r="CV305" s="79">
        <f t="shared" si="348"/>
        <v>0</v>
      </c>
      <c r="CW305" s="82" t="str">
        <f t="shared" si="337"/>
        <v>valid</v>
      </c>
      <c r="CX305" s="65" t="str">
        <f t="shared" si="338"/>
        <v>-</v>
      </c>
      <c r="CY305" s="66" t="str">
        <f t="shared" si="351"/>
        <v>MGScr</v>
      </c>
      <c r="CZ305" s="81">
        <f t="shared" si="339"/>
        <v>11.62285</v>
      </c>
      <c r="DA305" s="59">
        <f t="shared" si="340"/>
        <v>0</v>
      </c>
      <c r="DB305" s="59">
        <f t="shared" si="341"/>
        <v>1.7367641666666667</v>
      </c>
      <c r="DC305" s="59">
        <f t="shared" si="342"/>
        <v>0</v>
      </c>
      <c r="DD305" s="59">
        <f t="shared" si="343"/>
        <v>0.27292008333333334</v>
      </c>
      <c r="DE305" s="79">
        <f t="shared" si="344"/>
        <v>12.1780294</v>
      </c>
      <c r="DF305" s="83">
        <f t="shared" si="352"/>
        <v>13.359614166666667</v>
      </c>
    </row>
    <row r="306" spans="2:110" ht="16.5" customHeight="1" x14ac:dyDescent="0.25">
      <c r="B306" s="47"/>
      <c r="C306" s="168" t="s">
        <v>812</v>
      </c>
      <c r="D306" s="169" t="s">
        <v>813</v>
      </c>
      <c r="E306" s="170" t="s">
        <v>814</v>
      </c>
      <c r="F306" s="50">
        <f t="shared" si="315"/>
        <v>0.76435315185826869</v>
      </c>
      <c r="G306" s="50" t="str">
        <f t="shared" ca="1" si="349"/>
        <v>No</v>
      </c>
      <c r="H306" s="51" t="str">
        <f t="shared" si="350"/>
        <v>Main - Genoa - Spinnaker</v>
      </c>
      <c r="I306" s="171">
        <v>35803</v>
      </c>
      <c r="J306" s="171"/>
      <c r="K306" s="172" t="s">
        <v>379</v>
      </c>
      <c r="L306" s="172" t="s">
        <v>239</v>
      </c>
      <c r="M306" s="171"/>
      <c r="N306" s="173" t="s">
        <v>541</v>
      </c>
      <c r="O306" s="173"/>
      <c r="P306" s="174">
        <v>7.6</v>
      </c>
      <c r="Q306" s="175">
        <v>11.5</v>
      </c>
      <c r="R306" s="78"/>
      <c r="S306" s="59">
        <f t="shared" si="320"/>
        <v>0.28750000000000003</v>
      </c>
      <c r="T306" s="176">
        <v>0.7</v>
      </c>
      <c r="U306" s="176">
        <v>0</v>
      </c>
      <c r="V306" s="61">
        <f t="shared" si="321"/>
        <v>10.8</v>
      </c>
      <c r="W306" s="62">
        <f>IF(RL&gt;0,IF(RL&gt;'Look Ups'!R$7,'Look Ups'!R$8,('Look Ups'!R$3*RL^3+'Look Ups'!R$4*RL^2+'Look Ups'!R$5*RL+'Look Ups'!R$6)),0)</f>
        <v>0.29937449599999999</v>
      </c>
      <c r="X306" s="177">
        <v>3614</v>
      </c>
      <c r="Y306" s="178"/>
      <c r="Z306" s="178"/>
      <c r="AA306" s="178"/>
      <c r="AB306" s="65">
        <f t="shared" si="322"/>
        <v>3614</v>
      </c>
      <c r="AC306" s="66">
        <f t="shared" si="323"/>
        <v>3614</v>
      </c>
      <c r="AD306" s="179" t="s">
        <v>129</v>
      </c>
      <c r="AE306" s="180" t="s">
        <v>130</v>
      </c>
      <c r="AF306" s="181" t="s">
        <v>131</v>
      </c>
      <c r="AG306" s="70">
        <f>IF(C306="",0,VLOOKUP(AD306,'Look Ups'!$B$3:$C$6,2,0)*VLOOKUP(AE306,'Look Ups'!$E$3:$F$5,2,0)*VLOOKUP(AF306,'Look Ups'!$H$3:$I$7,2,0))</f>
        <v>1</v>
      </c>
      <c r="AH306" s="80">
        <v>13.12</v>
      </c>
      <c r="AI306" s="77">
        <v>13.05</v>
      </c>
      <c r="AJ306" s="77">
        <v>4.09</v>
      </c>
      <c r="AK306" s="77">
        <v>0.17</v>
      </c>
      <c r="AL306" s="77">
        <v>0.43</v>
      </c>
      <c r="AM306" s="77">
        <v>12.9</v>
      </c>
      <c r="AN306" s="77">
        <v>0.30000000000000004</v>
      </c>
      <c r="AO306" s="77">
        <v>4.1500000000000004</v>
      </c>
      <c r="AP306" s="77">
        <v>0</v>
      </c>
      <c r="AQ306" s="77">
        <v>0</v>
      </c>
      <c r="AR306" s="77" t="s">
        <v>132</v>
      </c>
      <c r="AS306" s="87">
        <v>0</v>
      </c>
      <c r="AT306" s="59">
        <f t="shared" si="324"/>
        <v>12.9</v>
      </c>
      <c r="AU306" s="59">
        <f t="shared" si="325"/>
        <v>0</v>
      </c>
      <c r="AV306" s="72">
        <f>IF(C306="",0,(0.5*(_ML1*LPM)+0.5*(_ML1*HB)+0.66*(P*PR)+0.66*(_ML2*RDM)+0.66*(E*ER))*VLOOKUP(BATT,'Look Ups'!$N$3:$O$4,2,0))</f>
        <v>34.203389999999999</v>
      </c>
      <c r="AW306" s="182"/>
      <c r="AX306" s="183"/>
      <c r="AY306" s="80">
        <v>12.87</v>
      </c>
      <c r="AZ306" s="77">
        <v>4.7</v>
      </c>
      <c r="BA306" s="77">
        <v>5.45</v>
      </c>
      <c r="BB306" s="77">
        <v>0.1</v>
      </c>
      <c r="BC306" s="77">
        <v>11.15</v>
      </c>
      <c r="BD306" s="77"/>
      <c r="BE306" s="77"/>
      <c r="BF306" s="77">
        <v>-0.2</v>
      </c>
      <c r="BG306" s="77">
        <v>0</v>
      </c>
      <c r="BH306" s="87"/>
      <c r="BI306" s="72">
        <f t="shared" si="326"/>
        <v>29.132399999999997</v>
      </c>
      <c r="BJ306" s="76"/>
      <c r="BK306" s="77"/>
      <c r="BL306" s="78"/>
      <c r="BM306" s="78"/>
      <c r="BN306" s="77"/>
      <c r="BO306" s="78"/>
      <c r="BP306" s="78"/>
      <c r="BQ306" s="79">
        <f t="shared" si="327"/>
        <v>0</v>
      </c>
      <c r="BR306" s="80"/>
      <c r="BS306" s="77"/>
      <c r="BT306" s="77"/>
      <c r="BU306" s="77"/>
      <c r="BV306" s="77"/>
      <c r="BW306" s="77"/>
      <c r="BX306" s="77"/>
      <c r="BY306" s="72">
        <f t="shared" si="328"/>
        <v>0</v>
      </c>
      <c r="BZ306" s="182">
        <v>8.25</v>
      </c>
      <c r="CA306" s="77">
        <v>13.7</v>
      </c>
      <c r="CB306" s="77">
        <v>13.7</v>
      </c>
      <c r="CC306" s="77">
        <v>7.3</v>
      </c>
      <c r="CD306" s="65">
        <f t="shared" si="329"/>
        <v>88.48484848484847</v>
      </c>
      <c r="CE306" s="77">
        <v>0</v>
      </c>
      <c r="CF306" s="79">
        <f t="shared" si="330"/>
        <v>85.510833333333323</v>
      </c>
      <c r="CG306" s="80"/>
      <c r="CH306" s="77"/>
      <c r="CI306" s="77"/>
      <c r="CJ306" s="77"/>
      <c r="CK306" s="59" t="str">
        <f t="shared" si="345"/>
        <v/>
      </c>
      <c r="CL306" s="77">
        <v>0</v>
      </c>
      <c r="CM306" s="72">
        <f t="shared" si="331"/>
        <v>0</v>
      </c>
      <c r="CN306" s="81">
        <f t="shared" si="332"/>
        <v>1</v>
      </c>
      <c r="CO306" s="59">
        <f t="shared" si="333"/>
        <v>34.203389999999999</v>
      </c>
      <c r="CP306" s="59">
        <f t="shared" si="334"/>
        <v>1</v>
      </c>
      <c r="CQ306" s="59">
        <f t="shared" si="335"/>
        <v>29.132399999999997</v>
      </c>
      <c r="CR306" s="59">
        <f>IF(AV306&gt;0,'Look Ups'!$L$3,0)</f>
        <v>1</v>
      </c>
      <c r="CS306" s="59">
        <f t="shared" si="336"/>
        <v>0</v>
      </c>
      <c r="CT306" s="59">
        <f t="shared" si="346"/>
        <v>0</v>
      </c>
      <c r="CU306" s="59">
        <f t="shared" si="347"/>
        <v>0</v>
      </c>
      <c r="CV306" s="79">
        <f t="shared" si="348"/>
        <v>0</v>
      </c>
      <c r="CW306" s="82" t="str">
        <f t="shared" si="337"/>
        <v>-</v>
      </c>
      <c r="CX306" s="65" t="str">
        <f t="shared" si="338"/>
        <v>valid</v>
      </c>
      <c r="CY306" s="66" t="str">
        <f t="shared" si="351"/>
        <v>MGSp</v>
      </c>
      <c r="CZ306" s="81">
        <f t="shared" si="339"/>
        <v>63.335789999999996</v>
      </c>
      <c r="DA306" s="59">
        <f t="shared" si="340"/>
        <v>16.913529999999998</v>
      </c>
      <c r="DB306" s="59">
        <f t="shared" si="341"/>
        <v>0</v>
      </c>
      <c r="DC306" s="59">
        <f t="shared" si="342"/>
        <v>16.631637833333329</v>
      </c>
      <c r="DD306" s="59">
        <f t="shared" si="343"/>
        <v>0</v>
      </c>
      <c r="DE306" s="79">
        <f t="shared" si="344"/>
        <v>63.883456919999993</v>
      </c>
      <c r="DF306" s="83">
        <f t="shared" si="352"/>
        <v>80.249319999999997</v>
      </c>
    </row>
    <row r="307" spans="2:110" ht="16.5" customHeight="1" x14ac:dyDescent="0.25">
      <c r="B307" s="168"/>
      <c r="C307" s="47" t="s">
        <v>508</v>
      </c>
      <c r="D307" s="48" t="s">
        <v>928</v>
      </c>
      <c r="E307" s="49" t="s">
        <v>509</v>
      </c>
      <c r="F307" s="50">
        <f t="shared" si="315"/>
        <v>0.94740183653506249</v>
      </c>
      <c r="G307" s="50" t="str">
        <f t="shared" ca="1" si="349"/>
        <v>No</v>
      </c>
      <c r="H307" s="51" t="str">
        <f t="shared" si="350"/>
        <v>Main - Genoa - Spinnaker</v>
      </c>
      <c r="I307" s="52">
        <v>38951</v>
      </c>
      <c r="J307" s="52"/>
      <c r="K307" s="53" t="s">
        <v>422</v>
      </c>
      <c r="L307" s="53" t="s">
        <v>212</v>
      </c>
      <c r="M307" s="54"/>
      <c r="N307" s="55" t="s">
        <v>149</v>
      </c>
      <c r="O307" s="55"/>
      <c r="P307" s="56"/>
      <c r="Q307" s="57">
        <v>10.75</v>
      </c>
      <c r="R307" s="58"/>
      <c r="S307" s="59">
        <f t="shared" si="320"/>
        <v>0.26874999999999999</v>
      </c>
      <c r="T307" s="60">
        <v>0.35</v>
      </c>
      <c r="U307" s="60">
        <v>0</v>
      </c>
      <c r="V307" s="61">
        <f t="shared" si="321"/>
        <v>10.4</v>
      </c>
      <c r="W307" s="62">
        <f>IF(RL&gt;0,IF(RL&gt;'Look Ups'!R$7,'Look Ups'!R$8,('Look Ups'!R$3*RL^3+'Look Ups'!R$4*RL^2+'Look Ups'!R$5*RL+'Look Ups'!R$6)),0)</f>
        <v>0.29899651199999999</v>
      </c>
      <c r="X307" s="63">
        <v>2202</v>
      </c>
      <c r="Y307" s="64"/>
      <c r="Z307" s="64"/>
      <c r="AA307" s="64"/>
      <c r="AB307" s="65">
        <f t="shared" si="322"/>
        <v>2202</v>
      </c>
      <c r="AC307" s="66">
        <f t="shared" si="323"/>
        <v>2202</v>
      </c>
      <c r="AD307" s="67" t="s">
        <v>129</v>
      </c>
      <c r="AE307" s="68" t="s">
        <v>130</v>
      </c>
      <c r="AF307" s="69" t="s">
        <v>131</v>
      </c>
      <c r="AG307" s="70">
        <f>IF(C307="",0,VLOOKUP(AD307,'Look Ups'!$B$3:$C$6,2,0)*VLOOKUP(AE307,'Look Ups'!$E$3:$F$5,2,0)*VLOOKUP(AF307,'Look Ups'!$H$3:$I$7,2,0))</f>
        <v>1</v>
      </c>
      <c r="AH307" s="71">
        <v>13.72</v>
      </c>
      <c r="AI307" s="60">
        <v>13.32</v>
      </c>
      <c r="AJ307" s="60">
        <v>4.04</v>
      </c>
      <c r="AK307" s="60">
        <v>1.33</v>
      </c>
      <c r="AL307" s="60">
        <v>1.1000000000000001</v>
      </c>
      <c r="AM307" s="60">
        <v>13.37</v>
      </c>
      <c r="AN307" s="60">
        <v>0.14000000000000001</v>
      </c>
      <c r="AO307" s="60">
        <v>4.2</v>
      </c>
      <c r="AP307" s="60">
        <v>0.04</v>
      </c>
      <c r="AQ307" s="60">
        <v>0.53</v>
      </c>
      <c r="AR307" s="60" t="s">
        <v>132</v>
      </c>
      <c r="AS307" s="75">
        <v>0</v>
      </c>
      <c r="AT307" s="59">
        <f t="shared" si="324"/>
        <v>13.409999999999998</v>
      </c>
      <c r="AU307" s="59">
        <f t="shared" si="325"/>
        <v>2.6572875000000002</v>
      </c>
      <c r="AV307" s="72">
        <f>IF(C307="",0,(0.5*(_ML1*LPM)+0.5*(_ML1*HB)+0.66*(P*PR)+0.66*(_ML2*RDM)+0.66*(E*ER))*VLOOKUP(BATT,'Look Ups'!$N$3:$O$4,2,0))</f>
        <v>47.854788000000006</v>
      </c>
      <c r="AW307" s="73"/>
      <c r="AX307" s="74"/>
      <c r="AY307" s="71">
        <v>11.86</v>
      </c>
      <c r="AZ307" s="60">
        <v>4.2300000000000004</v>
      </c>
      <c r="BA307" s="60">
        <v>4.8100000000000005</v>
      </c>
      <c r="BB307" s="60">
        <v>0.1</v>
      </c>
      <c r="BC307" s="60">
        <v>10.52</v>
      </c>
      <c r="BD307" s="60"/>
      <c r="BE307" s="60"/>
      <c r="BF307" s="60">
        <v>0.09</v>
      </c>
      <c r="BG307" s="60">
        <v>-0.09</v>
      </c>
      <c r="BH307" s="75">
        <v>0</v>
      </c>
      <c r="BI307" s="72">
        <f t="shared" si="326"/>
        <v>25.321763999999998</v>
      </c>
      <c r="BJ307" s="76"/>
      <c r="BK307" s="77"/>
      <c r="BL307" s="78"/>
      <c r="BM307" s="78"/>
      <c r="BN307" s="77"/>
      <c r="BO307" s="78"/>
      <c r="BP307" s="78"/>
      <c r="BQ307" s="79">
        <f t="shared" si="327"/>
        <v>0</v>
      </c>
      <c r="BR307" s="80"/>
      <c r="BS307" s="77"/>
      <c r="BT307" s="77"/>
      <c r="BU307" s="77"/>
      <c r="BV307" s="77"/>
      <c r="BW307" s="77"/>
      <c r="BX307" s="77"/>
      <c r="BY307" s="72">
        <f t="shared" si="328"/>
        <v>0</v>
      </c>
      <c r="BZ307" s="73">
        <v>8.64</v>
      </c>
      <c r="CA307" s="60">
        <v>13.78</v>
      </c>
      <c r="CB307" s="60">
        <v>12.23</v>
      </c>
      <c r="CC307" s="60">
        <v>7.98</v>
      </c>
      <c r="CD307" s="65">
        <f t="shared" si="329"/>
        <v>92.3611111111111</v>
      </c>
      <c r="CE307" s="60">
        <v>0</v>
      </c>
      <c r="CF307" s="79">
        <f t="shared" si="330"/>
        <v>87.913799999999995</v>
      </c>
      <c r="CG307" s="71"/>
      <c r="CH307" s="60"/>
      <c r="CI307" s="60"/>
      <c r="CJ307" s="60"/>
      <c r="CK307" s="59" t="str">
        <f t="shared" si="345"/>
        <v/>
      </c>
      <c r="CL307" s="60">
        <v>0</v>
      </c>
      <c r="CM307" s="72">
        <f t="shared" si="331"/>
        <v>0</v>
      </c>
      <c r="CN307" s="81">
        <f t="shared" si="332"/>
        <v>1</v>
      </c>
      <c r="CO307" s="59">
        <f t="shared" si="333"/>
        <v>50.512075500000009</v>
      </c>
      <c r="CP307" s="59">
        <f t="shared" si="334"/>
        <v>1</v>
      </c>
      <c r="CQ307" s="59">
        <f t="shared" si="335"/>
        <v>25.321763999999998</v>
      </c>
      <c r="CR307" s="59">
        <f>IF(AV307&gt;0,'Look Ups'!$L$3,0)</f>
        <v>1</v>
      </c>
      <c r="CS307" s="59">
        <f t="shared" si="336"/>
        <v>0</v>
      </c>
      <c r="CT307" s="59">
        <f t="shared" si="346"/>
        <v>0</v>
      </c>
      <c r="CU307" s="59">
        <f t="shared" si="347"/>
        <v>0</v>
      </c>
      <c r="CV307" s="79">
        <f t="shared" si="348"/>
        <v>0</v>
      </c>
      <c r="CW307" s="82" t="str">
        <f t="shared" si="337"/>
        <v>-</v>
      </c>
      <c r="CX307" s="65" t="str">
        <f t="shared" si="338"/>
        <v>valid</v>
      </c>
      <c r="CY307" s="66" t="str">
        <f t="shared" si="351"/>
        <v>MGSp</v>
      </c>
      <c r="CZ307" s="81">
        <f t="shared" si="339"/>
        <v>75.833839500000011</v>
      </c>
      <c r="DA307" s="59">
        <f t="shared" si="340"/>
        <v>18.777610799999998</v>
      </c>
      <c r="DB307" s="59">
        <f t="shared" si="341"/>
        <v>0</v>
      </c>
      <c r="DC307" s="59">
        <f t="shared" si="342"/>
        <v>18.464650619999997</v>
      </c>
      <c r="DD307" s="59">
        <f t="shared" si="343"/>
        <v>0</v>
      </c>
      <c r="DE307" s="79">
        <f t="shared" si="344"/>
        <v>78.554393142000009</v>
      </c>
      <c r="DF307" s="83">
        <f t="shared" si="352"/>
        <v>94.611450300000001</v>
      </c>
    </row>
    <row r="308" spans="2:110" ht="16.5" customHeight="1" x14ac:dyDescent="0.25">
      <c r="B308" s="47"/>
      <c r="C308" s="168" t="s">
        <v>815</v>
      </c>
      <c r="D308" s="354" t="s">
        <v>816</v>
      </c>
      <c r="E308" s="175" t="s">
        <v>505</v>
      </c>
      <c r="F308" s="50">
        <f t="shared" si="315"/>
        <v>0.96491861963080328</v>
      </c>
      <c r="G308" s="50" t="str">
        <f t="shared" ca="1" si="349"/>
        <v>No</v>
      </c>
      <c r="H308" s="51" t="str">
        <f t="shared" si="350"/>
        <v>Main - Genoa - Screacher - Spinnaker</v>
      </c>
      <c r="I308" s="171">
        <v>38652</v>
      </c>
      <c r="J308" s="171"/>
      <c r="K308" s="172" t="s">
        <v>169</v>
      </c>
      <c r="L308" s="172" t="s">
        <v>239</v>
      </c>
      <c r="M308" s="171"/>
      <c r="N308" s="173" t="s">
        <v>149</v>
      </c>
      <c r="O308" s="173"/>
      <c r="P308" s="174">
        <v>7.2</v>
      </c>
      <c r="Q308" s="175">
        <v>12.58</v>
      </c>
      <c r="R308" s="78"/>
      <c r="S308" s="59">
        <f t="shared" si="320"/>
        <v>0.3145</v>
      </c>
      <c r="T308" s="176">
        <v>0.27</v>
      </c>
      <c r="U308" s="176">
        <v>0</v>
      </c>
      <c r="V308" s="61">
        <f t="shared" si="321"/>
        <v>12.31</v>
      </c>
      <c r="W308" s="62">
        <f>IF(RL&gt;0,IF(RL&gt;'Look Ups'!R$7,'Look Ups'!R$8,('Look Ups'!R$3*RL^3+'Look Ups'!R$4*RL^2+'Look Ups'!R$5*RL+'Look Ups'!R$6)),0)</f>
        <v>0.3</v>
      </c>
      <c r="X308" s="177">
        <v>3120</v>
      </c>
      <c r="Y308" s="178"/>
      <c r="Z308" s="178"/>
      <c r="AA308" s="178"/>
      <c r="AB308" s="65">
        <f t="shared" si="322"/>
        <v>3120</v>
      </c>
      <c r="AC308" s="66">
        <f t="shared" si="323"/>
        <v>3120</v>
      </c>
      <c r="AD308" s="179" t="s">
        <v>129</v>
      </c>
      <c r="AE308" s="180" t="s">
        <v>130</v>
      </c>
      <c r="AF308" s="181" t="s">
        <v>131</v>
      </c>
      <c r="AG308" s="70">
        <f>IF(C308="",0,VLOOKUP(AD308,'Look Ups'!$B$3:$C$6,2,0)*VLOOKUP(AE308,'Look Ups'!$E$3:$F$5,2,0)*VLOOKUP(AF308,'Look Ups'!$H$3:$I$7,2,0))</f>
        <v>1</v>
      </c>
      <c r="AH308" s="80">
        <v>13.72</v>
      </c>
      <c r="AI308" s="77">
        <v>12.88</v>
      </c>
      <c r="AJ308" s="77">
        <v>4.84</v>
      </c>
      <c r="AK308" s="77">
        <v>1.99</v>
      </c>
      <c r="AL308" s="77">
        <v>1.1299999999999999</v>
      </c>
      <c r="AM308" s="77">
        <v>13.59</v>
      </c>
      <c r="AN308" s="77">
        <v>0.09</v>
      </c>
      <c r="AO308" s="77">
        <v>4.9800000000000004</v>
      </c>
      <c r="AP308" s="77">
        <v>0.06</v>
      </c>
      <c r="AQ308" s="77">
        <v>0.62</v>
      </c>
      <c r="AR308" s="77" t="s">
        <v>132</v>
      </c>
      <c r="AS308" s="87">
        <v>0</v>
      </c>
      <c r="AT308" s="59">
        <f t="shared" si="324"/>
        <v>13.65</v>
      </c>
      <c r="AU308" s="59">
        <f t="shared" si="325"/>
        <v>3.1596749999999996</v>
      </c>
      <c r="AV308" s="72">
        <f>IF(C308="",0,(0.5*(_ML1*LPM)+0.5*(_ML1*HB)+0.66*(P*PR)+0.66*(_ML2*RDM)+0.66*(E*ER))*VLOOKUP(BATT,'Look Ups'!$N$3:$O$4,2,0))</f>
        <v>57.464158000000005</v>
      </c>
      <c r="AW308" s="182"/>
      <c r="AX308" s="183"/>
      <c r="AY308" s="80">
        <v>13.2</v>
      </c>
      <c r="AZ308" s="77">
        <v>3.82</v>
      </c>
      <c r="BA308" s="77">
        <v>4.08</v>
      </c>
      <c r="BB308" s="77">
        <v>0.1</v>
      </c>
      <c r="BC308" s="77">
        <v>12.4</v>
      </c>
      <c r="BD308" s="77"/>
      <c r="BE308" s="77"/>
      <c r="BF308" s="77">
        <v>0.1</v>
      </c>
      <c r="BG308" s="77">
        <v>-0.24</v>
      </c>
      <c r="BH308" s="87"/>
      <c r="BI308" s="72">
        <f t="shared" si="326"/>
        <v>24.208799999999997</v>
      </c>
      <c r="BJ308" s="76"/>
      <c r="BK308" s="77"/>
      <c r="BL308" s="78"/>
      <c r="BM308" s="78"/>
      <c r="BN308" s="77"/>
      <c r="BO308" s="78"/>
      <c r="BP308" s="78"/>
      <c r="BQ308" s="79">
        <f t="shared" si="327"/>
        <v>0</v>
      </c>
      <c r="BR308" s="80"/>
      <c r="BS308" s="77"/>
      <c r="BT308" s="77"/>
      <c r="BU308" s="77"/>
      <c r="BV308" s="77"/>
      <c r="BW308" s="77"/>
      <c r="BX308" s="77"/>
      <c r="BY308" s="72">
        <f t="shared" si="328"/>
        <v>0</v>
      </c>
      <c r="BZ308" s="182">
        <v>10.4</v>
      </c>
      <c r="CA308" s="77">
        <v>15.4</v>
      </c>
      <c r="CB308" s="77">
        <v>15.08</v>
      </c>
      <c r="CC308" s="77">
        <v>9.4</v>
      </c>
      <c r="CD308" s="65">
        <f t="shared" si="329"/>
        <v>90.384615384615387</v>
      </c>
      <c r="CE308" s="77">
        <v>0</v>
      </c>
      <c r="CF308" s="79">
        <f t="shared" si="330"/>
        <v>121.92000000000002</v>
      </c>
      <c r="CG308" s="80">
        <v>8.43</v>
      </c>
      <c r="CH308" s="77">
        <v>14.23</v>
      </c>
      <c r="CI308" s="77">
        <v>10.18</v>
      </c>
      <c r="CJ308" s="77">
        <v>4.24</v>
      </c>
      <c r="CK308" s="59">
        <f t="shared" si="345"/>
        <v>50.296559905100835</v>
      </c>
      <c r="CL308" s="77">
        <v>0</v>
      </c>
      <c r="CM308" s="72">
        <f t="shared" si="331"/>
        <v>51.647491666666667</v>
      </c>
      <c r="CN308" s="81">
        <f t="shared" si="332"/>
        <v>1</v>
      </c>
      <c r="CO308" s="59">
        <f t="shared" si="333"/>
        <v>60.623833000000005</v>
      </c>
      <c r="CP308" s="59">
        <f t="shared" si="334"/>
        <v>1</v>
      </c>
      <c r="CQ308" s="59">
        <f t="shared" si="335"/>
        <v>24.208799999999997</v>
      </c>
      <c r="CR308" s="59">
        <f>IF(AV308&gt;0,'Look Ups'!$L$3,0)</f>
        <v>1</v>
      </c>
      <c r="CS308" s="59">
        <f t="shared" si="336"/>
        <v>0</v>
      </c>
      <c r="CT308" s="59">
        <f t="shared" si="346"/>
        <v>0</v>
      </c>
      <c r="CU308" s="59">
        <f t="shared" si="347"/>
        <v>0</v>
      </c>
      <c r="CV308" s="79">
        <f t="shared" si="348"/>
        <v>0</v>
      </c>
      <c r="CW308" s="82" t="str">
        <f t="shared" si="337"/>
        <v>valid</v>
      </c>
      <c r="CX308" s="65" t="str">
        <f t="shared" si="338"/>
        <v>valid</v>
      </c>
      <c r="CY308" s="66" t="str">
        <f t="shared" si="351"/>
        <v>MGScrSp</v>
      </c>
      <c r="CZ308" s="81">
        <f t="shared" si="339"/>
        <v>84.832633000000001</v>
      </c>
      <c r="DA308" s="59">
        <f t="shared" si="340"/>
        <v>29.313360000000003</v>
      </c>
      <c r="DB308" s="59">
        <f t="shared" si="341"/>
        <v>9.603542083333334</v>
      </c>
      <c r="DC308" s="59">
        <f t="shared" si="342"/>
        <v>28.824804000000004</v>
      </c>
      <c r="DD308" s="59">
        <f t="shared" si="343"/>
        <v>1.5091280416666668</v>
      </c>
      <c r="DE308" s="79">
        <f t="shared" si="344"/>
        <v>88.765456564000004</v>
      </c>
      <c r="DF308" s="83">
        <f t="shared" si="352"/>
        <v>115.16656504166667</v>
      </c>
    </row>
    <row r="309" spans="2:110" ht="16.5" customHeight="1" x14ac:dyDescent="0.25">
      <c r="B309" s="168"/>
      <c r="C309" s="47" t="s">
        <v>510</v>
      </c>
      <c r="D309" s="48" t="s">
        <v>511</v>
      </c>
      <c r="E309" s="49" t="s">
        <v>976</v>
      </c>
      <c r="F309" s="50">
        <f t="shared" si="315"/>
        <v>0.96053081649447081</v>
      </c>
      <c r="G309" s="50" t="str">
        <f t="shared" ca="1" si="349"/>
        <v>No</v>
      </c>
      <c r="H309" s="51" t="str">
        <f t="shared" si="350"/>
        <v>Main - Genoa - Screacher - Spinnaker</v>
      </c>
      <c r="I309" s="52">
        <v>38431</v>
      </c>
      <c r="J309" s="52">
        <v>41494</v>
      </c>
      <c r="K309" s="53" t="s">
        <v>147</v>
      </c>
      <c r="L309" s="53" t="s">
        <v>187</v>
      </c>
      <c r="M309" s="54"/>
      <c r="N309" s="55" t="s">
        <v>127</v>
      </c>
      <c r="O309" s="55" t="s">
        <v>128</v>
      </c>
      <c r="P309" s="56"/>
      <c r="Q309" s="57">
        <v>9.73</v>
      </c>
      <c r="R309" s="58"/>
      <c r="S309" s="59">
        <f t="shared" si="320"/>
        <v>0.24325000000000002</v>
      </c>
      <c r="T309" s="60">
        <v>0.08</v>
      </c>
      <c r="U309" s="60">
        <v>0</v>
      </c>
      <c r="V309" s="61">
        <f t="shared" si="321"/>
        <v>9.65</v>
      </c>
      <c r="W309" s="62">
        <f>IF(RL&gt;0,IF(RL&gt;'Look Ups'!R$7,'Look Ups'!R$8,('Look Ups'!R$3*RL^3+'Look Ups'!R$4*RL^2+'Look Ups'!R$5*RL+'Look Ups'!R$6)),0)</f>
        <v>0.29795836012500004</v>
      </c>
      <c r="X309" s="63">
        <v>1903</v>
      </c>
      <c r="Y309" s="64"/>
      <c r="Z309" s="64"/>
      <c r="AA309" s="64"/>
      <c r="AB309" s="65">
        <f t="shared" si="322"/>
        <v>1903</v>
      </c>
      <c r="AC309" s="66">
        <f t="shared" si="323"/>
        <v>1903</v>
      </c>
      <c r="AD309" s="67" t="s">
        <v>129</v>
      </c>
      <c r="AE309" s="68" t="s">
        <v>130</v>
      </c>
      <c r="AF309" s="69" t="s">
        <v>131</v>
      </c>
      <c r="AG309" s="70">
        <f>IF(C309="",0,VLOOKUP(AD309,'Look Ups'!$B$3:$C$6,2,0)*VLOOKUP(AE309,'Look Ups'!$E$3:$F$5,2,0)*VLOOKUP(AF309,'Look Ups'!$H$3:$I$7,2,0))</f>
        <v>1</v>
      </c>
      <c r="AH309" s="71">
        <v>13.19</v>
      </c>
      <c r="AI309" s="60">
        <v>13.05</v>
      </c>
      <c r="AJ309" s="60">
        <v>3.9</v>
      </c>
      <c r="AK309" s="60">
        <v>2</v>
      </c>
      <c r="AL309" s="60">
        <v>0.30000000000000004</v>
      </c>
      <c r="AM309" s="60">
        <v>13.02</v>
      </c>
      <c r="AN309" s="60">
        <v>0.125</v>
      </c>
      <c r="AO309" s="60">
        <v>4.0350000000000001</v>
      </c>
      <c r="AP309" s="60">
        <v>0.03</v>
      </c>
      <c r="AQ309" s="60">
        <v>0</v>
      </c>
      <c r="AR309" s="60" t="s">
        <v>132</v>
      </c>
      <c r="AS309" s="75">
        <v>4</v>
      </c>
      <c r="AT309" s="59">
        <f t="shared" si="324"/>
        <v>13.049999999999999</v>
      </c>
      <c r="AU309" s="59">
        <f t="shared" si="325"/>
        <v>0</v>
      </c>
      <c r="AV309" s="72">
        <f>IF(C309="",0,(0.5*(_ML1*LPM)+0.5*(_ML1*HB)+0.66*(P*PR)+0.66*(_ML2*RDM)+0.66*(E*ER))*VLOOKUP(BATT,'Look Ups'!$N$3:$O$4,2,0))</f>
        <v>42.648443</v>
      </c>
      <c r="AW309" s="73"/>
      <c r="AX309" s="74"/>
      <c r="AY309" s="71">
        <v>12.6</v>
      </c>
      <c r="AZ309" s="60">
        <v>3.55</v>
      </c>
      <c r="BA309" s="60">
        <v>3.83</v>
      </c>
      <c r="BB309" s="60">
        <v>0.18</v>
      </c>
      <c r="BC309" s="60">
        <v>11.8</v>
      </c>
      <c r="BD309" s="60"/>
      <c r="BE309" s="60"/>
      <c r="BF309" s="60">
        <v>0</v>
      </c>
      <c r="BG309" s="60">
        <v>-0.05</v>
      </c>
      <c r="BH309" s="75">
        <v>0</v>
      </c>
      <c r="BI309" s="72">
        <f t="shared" si="326"/>
        <v>22.404203999999996</v>
      </c>
      <c r="BJ309" s="76"/>
      <c r="BK309" s="77"/>
      <c r="BL309" s="78"/>
      <c r="BM309" s="78"/>
      <c r="BN309" s="77"/>
      <c r="BO309" s="78"/>
      <c r="BP309" s="78"/>
      <c r="BQ309" s="79">
        <f t="shared" si="327"/>
        <v>0</v>
      </c>
      <c r="BR309" s="80"/>
      <c r="BS309" s="77"/>
      <c r="BT309" s="77"/>
      <c r="BU309" s="77"/>
      <c r="BV309" s="77"/>
      <c r="BW309" s="77"/>
      <c r="BX309" s="77"/>
      <c r="BY309" s="72">
        <f t="shared" si="328"/>
        <v>0</v>
      </c>
      <c r="BZ309" s="73">
        <v>9.34</v>
      </c>
      <c r="CA309" s="60">
        <v>15.8</v>
      </c>
      <c r="CB309" s="60">
        <v>14.12</v>
      </c>
      <c r="CC309" s="60">
        <v>8.7899999999999991</v>
      </c>
      <c r="CD309" s="65">
        <f t="shared" si="329"/>
        <v>94.111349036402558</v>
      </c>
      <c r="CE309" s="60">
        <v>0</v>
      </c>
      <c r="CF309" s="79">
        <f t="shared" si="330"/>
        <v>110.95333333333333</v>
      </c>
      <c r="CG309" s="71">
        <v>7.15</v>
      </c>
      <c r="CH309" s="60">
        <v>13.38</v>
      </c>
      <c r="CI309" s="60">
        <v>12.26</v>
      </c>
      <c r="CJ309" s="60">
        <v>3.7</v>
      </c>
      <c r="CK309" s="59">
        <f t="shared" si="345"/>
        <v>51.748251748251747</v>
      </c>
      <c r="CL309" s="60">
        <v>0</v>
      </c>
      <c r="CM309" s="72">
        <f t="shared" si="331"/>
        <v>46.899833333333341</v>
      </c>
      <c r="CN309" s="81">
        <f t="shared" si="332"/>
        <v>1</v>
      </c>
      <c r="CO309" s="59">
        <f t="shared" si="333"/>
        <v>42.648443</v>
      </c>
      <c r="CP309" s="59">
        <f t="shared" si="334"/>
        <v>1</v>
      </c>
      <c r="CQ309" s="59">
        <f t="shared" si="335"/>
        <v>22.404203999999996</v>
      </c>
      <c r="CR309" s="59">
        <f>IF(AV309&gt;0,'Look Ups'!$L$3,0)</f>
        <v>1</v>
      </c>
      <c r="CS309" s="59">
        <f t="shared" si="336"/>
        <v>0</v>
      </c>
      <c r="CT309" s="59">
        <f t="shared" si="346"/>
        <v>0</v>
      </c>
      <c r="CU309" s="59">
        <f t="shared" si="347"/>
        <v>0</v>
      </c>
      <c r="CV309" s="79">
        <f t="shared" si="348"/>
        <v>0</v>
      </c>
      <c r="CW309" s="82" t="str">
        <f t="shared" si="337"/>
        <v>valid</v>
      </c>
      <c r="CX309" s="65" t="str">
        <f t="shared" si="338"/>
        <v>valid</v>
      </c>
      <c r="CY309" s="66" t="str">
        <f t="shared" si="351"/>
        <v>MGScrSp</v>
      </c>
      <c r="CZ309" s="81">
        <f t="shared" si="339"/>
        <v>65.052646999999993</v>
      </c>
      <c r="DA309" s="59">
        <f t="shared" si="340"/>
        <v>26.564738800000001</v>
      </c>
      <c r="DB309" s="59">
        <f t="shared" si="341"/>
        <v>8.5734702666666696</v>
      </c>
      <c r="DC309" s="59">
        <f t="shared" si="342"/>
        <v>26.121993153333335</v>
      </c>
      <c r="DD309" s="59">
        <f t="shared" si="343"/>
        <v>1.3472596133333339</v>
      </c>
      <c r="DE309" s="79">
        <f t="shared" si="344"/>
        <v>67.239024811999997</v>
      </c>
      <c r="DF309" s="83">
        <f t="shared" si="352"/>
        <v>92.521899766666664</v>
      </c>
    </row>
    <row r="310" spans="2:110" ht="16.5" customHeight="1" x14ac:dyDescent="0.25">
      <c r="B310" s="168"/>
      <c r="C310" s="168" t="s">
        <v>817</v>
      </c>
      <c r="D310" s="184" t="s">
        <v>632</v>
      </c>
      <c r="E310" s="170" t="s">
        <v>818</v>
      </c>
      <c r="F310" s="50">
        <f t="shared" si="315"/>
        <v>0.85063148779931652</v>
      </c>
      <c r="G310" s="50" t="str">
        <f t="shared" ca="1" si="349"/>
        <v>No</v>
      </c>
      <c r="H310" s="51" t="str">
        <f t="shared" si="350"/>
        <v>Main - Genoa - Screacher - Spinnaker</v>
      </c>
      <c r="I310" s="171">
        <v>39739</v>
      </c>
      <c r="J310" s="171">
        <v>39748</v>
      </c>
      <c r="K310" s="172" t="s">
        <v>205</v>
      </c>
      <c r="L310" s="172" t="s">
        <v>143</v>
      </c>
      <c r="M310" s="171"/>
      <c r="N310" s="173" t="s">
        <v>537</v>
      </c>
      <c r="O310" s="173"/>
      <c r="P310" s="186"/>
      <c r="Q310" s="175">
        <v>7.42</v>
      </c>
      <c r="R310" s="78"/>
      <c r="S310" s="59">
        <f t="shared" si="320"/>
        <v>0.1855</v>
      </c>
      <c r="T310" s="176">
        <v>0.23</v>
      </c>
      <c r="U310" s="176"/>
      <c r="V310" s="61">
        <f t="shared" si="321"/>
        <v>7.1899999999999995</v>
      </c>
      <c r="W310" s="62">
        <f>IF(RL&gt;0,IF(RL&gt;'Look Ups'!R$7,'Look Ups'!R$8,('Look Ups'!R$3*RL^3+'Look Ups'!R$4*RL^2+'Look Ups'!R$5*RL+'Look Ups'!R$6)),0)</f>
        <v>0.29059639364700002</v>
      </c>
      <c r="X310" s="177">
        <v>970</v>
      </c>
      <c r="Y310" s="178"/>
      <c r="Z310" s="178"/>
      <c r="AA310" s="178"/>
      <c r="AB310" s="65">
        <f t="shared" si="322"/>
        <v>970</v>
      </c>
      <c r="AC310" s="66">
        <f t="shared" si="323"/>
        <v>970</v>
      </c>
      <c r="AD310" s="179" t="s">
        <v>129</v>
      </c>
      <c r="AE310" s="180" t="s">
        <v>130</v>
      </c>
      <c r="AF310" s="181" t="s">
        <v>131</v>
      </c>
      <c r="AG310" s="70">
        <f>IF(C310="",0,VLOOKUP(AD310,'Look Ups'!$B$3:$C$6,2,0)*VLOOKUP(AE310,'Look Ups'!$E$3:$F$5,2,0)*VLOOKUP(AF310,'Look Ups'!$H$3:$I$7,2,0))</f>
        <v>1</v>
      </c>
      <c r="AH310" s="80">
        <v>9.35</v>
      </c>
      <c r="AI310" s="77">
        <v>9.34</v>
      </c>
      <c r="AJ310" s="77">
        <v>3.28</v>
      </c>
      <c r="AK310" s="77">
        <v>0.65</v>
      </c>
      <c r="AL310" s="77">
        <v>0.76</v>
      </c>
      <c r="AM310" s="77">
        <v>8.85</v>
      </c>
      <c r="AN310" s="77">
        <v>0.14000000000000001</v>
      </c>
      <c r="AO310" s="77">
        <v>3.47</v>
      </c>
      <c r="AP310" s="77">
        <v>0.03</v>
      </c>
      <c r="AQ310" s="77">
        <v>0.4</v>
      </c>
      <c r="AR310" s="77" t="s">
        <v>132</v>
      </c>
      <c r="AS310" s="87" t="s">
        <v>819</v>
      </c>
      <c r="AT310" s="59">
        <f t="shared" si="324"/>
        <v>8.879999999999999</v>
      </c>
      <c r="AU310" s="59">
        <f t="shared" si="325"/>
        <v>1.3274999999999999</v>
      </c>
      <c r="AV310" s="72">
        <f>IF(C310="",0,(0.5*(_ML1*LPM)+0.5*(_ML1*HB)+0.66*(P*PR)+0.66*(_ML2*RDM)+0.66*(E*ER))*VLOOKUP(BATT,'Look Ups'!$N$3:$O$4,2,0))</f>
        <v>23.944139999999997</v>
      </c>
      <c r="AW310" s="182"/>
      <c r="AX310" s="183"/>
      <c r="AY310" s="80">
        <v>8.33</v>
      </c>
      <c r="AZ310" s="77">
        <v>2.79</v>
      </c>
      <c r="BA310" s="77">
        <v>3.14</v>
      </c>
      <c r="BB310" s="77">
        <v>0.13</v>
      </c>
      <c r="BC310" s="77">
        <v>7.37</v>
      </c>
      <c r="BD310" s="77"/>
      <c r="BE310" s="77"/>
      <c r="BF310" s="77">
        <v>0.12</v>
      </c>
      <c r="BG310" s="77">
        <v>0.04</v>
      </c>
      <c r="BH310" s="87" t="s">
        <v>541</v>
      </c>
      <c r="BI310" s="72">
        <f t="shared" si="326"/>
        <v>12.693378000000003</v>
      </c>
      <c r="BJ310" s="76"/>
      <c r="BK310" s="77"/>
      <c r="BL310" s="78"/>
      <c r="BM310" s="78"/>
      <c r="BN310" s="77"/>
      <c r="BO310" s="78"/>
      <c r="BP310" s="78"/>
      <c r="BQ310" s="79">
        <f t="shared" si="327"/>
        <v>0</v>
      </c>
      <c r="BR310" s="80"/>
      <c r="BS310" s="77"/>
      <c r="BT310" s="77"/>
      <c r="BU310" s="77"/>
      <c r="BV310" s="77"/>
      <c r="BW310" s="77"/>
      <c r="BX310" s="77"/>
      <c r="BY310" s="72">
        <f t="shared" si="328"/>
        <v>0</v>
      </c>
      <c r="BZ310" s="182">
        <v>6.78</v>
      </c>
      <c r="CA310" s="77">
        <v>11.23</v>
      </c>
      <c r="CB310" s="77">
        <v>10.1</v>
      </c>
      <c r="CC310" s="77">
        <v>6.06</v>
      </c>
      <c r="CD310" s="65">
        <f t="shared" si="329"/>
        <v>89.380530973451329</v>
      </c>
      <c r="CE310" s="77"/>
      <c r="CF310" s="79">
        <f t="shared" si="330"/>
        <v>55.138049999999993</v>
      </c>
      <c r="CG310" s="80">
        <v>4.96</v>
      </c>
      <c r="CH310" s="77">
        <v>9.18</v>
      </c>
      <c r="CI310" s="77">
        <v>8.0399999999999991</v>
      </c>
      <c r="CJ310" s="77">
        <v>2.57</v>
      </c>
      <c r="CK310" s="59">
        <f t="shared" si="345"/>
        <v>51.814516129032249</v>
      </c>
      <c r="CL310" s="77"/>
      <c r="CM310" s="72">
        <f t="shared" si="331"/>
        <v>21.869399999999999</v>
      </c>
      <c r="CN310" s="81">
        <f t="shared" si="332"/>
        <v>1</v>
      </c>
      <c r="CO310" s="59">
        <f t="shared" si="333"/>
        <v>25.271639999999998</v>
      </c>
      <c r="CP310" s="59">
        <f t="shared" si="334"/>
        <v>1</v>
      </c>
      <c r="CQ310" s="59">
        <f t="shared" si="335"/>
        <v>12.693378000000003</v>
      </c>
      <c r="CR310" s="59">
        <f>IF(AV310&gt;0,'Look Ups'!$L$3,0)</f>
        <v>1</v>
      </c>
      <c r="CS310" s="59">
        <f t="shared" si="336"/>
        <v>0</v>
      </c>
      <c r="CT310" s="59">
        <f t="shared" si="346"/>
        <v>0</v>
      </c>
      <c r="CU310" s="59">
        <f t="shared" si="347"/>
        <v>0</v>
      </c>
      <c r="CV310" s="79">
        <f t="shared" si="348"/>
        <v>0</v>
      </c>
      <c r="CW310" s="82" t="str">
        <f t="shared" si="337"/>
        <v>valid</v>
      </c>
      <c r="CX310" s="65" t="str">
        <f t="shared" si="338"/>
        <v>valid</v>
      </c>
      <c r="CY310" s="66" t="str">
        <f t="shared" si="351"/>
        <v>MGScrSp</v>
      </c>
      <c r="CZ310" s="81">
        <f t="shared" si="339"/>
        <v>37.965018000000001</v>
      </c>
      <c r="DA310" s="59">
        <f t="shared" si="340"/>
        <v>12.733401599999997</v>
      </c>
      <c r="DB310" s="59">
        <f t="shared" si="341"/>
        <v>3.2116076999999983</v>
      </c>
      <c r="DC310" s="59">
        <f t="shared" si="342"/>
        <v>12.521178239999996</v>
      </c>
      <c r="DD310" s="59">
        <f t="shared" si="343"/>
        <v>0.50468120999999977</v>
      </c>
      <c r="DE310" s="79">
        <f t="shared" si="344"/>
        <v>39.323470295999996</v>
      </c>
      <c r="DF310" s="83">
        <f t="shared" si="352"/>
        <v>50.990877449999999</v>
      </c>
    </row>
    <row r="311" spans="2:110" ht="16.5" customHeight="1" x14ac:dyDescent="0.25">
      <c r="B311" s="168"/>
      <c r="C311" s="47" t="s">
        <v>512</v>
      </c>
      <c r="D311" s="84" t="s">
        <v>385</v>
      </c>
      <c r="E311" s="49" t="s">
        <v>513</v>
      </c>
      <c r="F311" s="50">
        <f t="shared" si="315"/>
        <v>0.96920621145890828</v>
      </c>
      <c r="G311" s="50" t="str">
        <f t="shared" ca="1" si="349"/>
        <v>No</v>
      </c>
      <c r="H311" s="51" t="str">
        <f t="shared" si="350"/>
        <v>Main - Genoa - Screacher - Spinnaker</v>
      </c>
      <c r="I311" s="52">
        <v>40087</v>
      </c>
      <c r="J311" s="52">
        <v>40087</v>
      </c>
      <c r="K311" s="53" t="s">
        <v>142</v>
      </c>
      <c r="L311" s="53" t="s">
        <v>143</v>
      </c>
      <c r="M311" s="54"/>
      <c r="N311" s="75" t="s">
        <v>149</v>
      </c>
      <c r="O311" s="75"/>
      <c r="P311" s="85"/>
      <c r="Q311" s="57">
        <v>9.34</v>
      </c>
      <c r="R311" s="58"/>
      <c r="S311" s="59">
        <f t="shared" si="320"/>
        <v>0.23350000000000001</v>
      </c>
      <c r="T311" s="60">
        <v>0.12</v>
      </c>
      <c r="U311" s="60">
        <v>0</v>
      </c>
      <c r="V311" s="61">
        <f t="shared" si="321"/>
        <v>9.2200000000000006</v>
      </c>
      <c r="W311" s="62">
        <f>IF(RL&gt;0,IF(RL&gt;'Look Ups'!R$7,'Look Ups'!R$8,('Look Ups'!R$3*RL^3+'Look Ups'!R$4*RL^2+'Look Ups'!R$5*RL+'Look Ups'!R$6)),0)</f>
        <v>0.29714289578399999</v>
      </c>
      <c r="X311" s="63">
        <v>1590</v>
      </c>
      <c r="Y311" s="64"/>
      <c r="Z311" s="64"/>
      <c r="AA311" s="64"/>
      <c r="AB311" s="65">
        <f t="shared" si="322"/>
        <v>1590</v>
      </c>
      <c r="AC311" s="66">
        <f t="shared" si="323"/>
        <v>1590</v>
      </c>
      <c r="AD311" s="67" t="s">
        <v>129</v>
      </c>
      <c r="AE311" s="68" t="s">
        <v>130</v>
      </c>
      <c r="AF311" s="69" t="s">
        <v>131</v>
      </c>
      <c r="AG311" s="70">
        <f>IF(C311="",0,VLOOKUP(AD311,'Look Ups'!$B$3:$C$6,2,0)*VLOOKUP(AE311,'Look Ups'!$E$3:$F$5,2,0)*VLOOKUP(AF311,'Look Ups'!$H$3:$I$7,2,0))</f>
        <v>1</v>
      </c>
      <c r="AH311" s="71">
        <v>13.19</v>
      </c>
      <c r="AI311" s="60">
        <v>12.92</v>
      </c>
      <c r="AJ311" s="60">
        <v>4.05</v>
      </c>
      <c r="AK311" s="60">
        <v>1.7000000000000002</v>
      </c>
      <c r="AL311" s="60">
        <v>0.43</v>
      </c>
      <c r="AM311" s="60">
        <v>13.15</v>
      </c>
      <c r="AN311" s="60">
        <v>0.19</v>
      </c>
      <c r="AO311" s="60">
        <v>4.1399999999999997</v>
      </c>
      <c r="AP311" s="60">
        <v>7.0000000000000007E-2</v>
      </c>
      <c r="AQ311" s="60">
        <v>0.60000000000000009</v>
      </c>
      <c r="AR311" s="60" t="s">
        <v>132</v>
      </c>
      <c r="AS311" s="75">
        <v>0</v>
      </c>
      <c r="AT311" s="59">
        <f t="shared" si="324"/>
        <v>13.22</v>
      </c>
      <c r="AU311" s="59">
        <f t="shared" si="325"/>
        <v>2.9587500000000007</v>
      </c>
      <c r="AV311" s="72">
        <f>IF(C311="",0,(0.5*(_ML1*LPM)+0.5*(_ML1*HB)+0.66*(P*PR)+0.66*(_ML2*RDM)+0.66*(E*ER))*VLOOKUP(BATT,'Look Ups'!$N$3:$O$4,2,0))</f>
        <v>43.428224</v>
      </c>
      <c r="AW311" s="73"/>
      <c r="AX311" s="74"/>
      <c r="AY311" s="71">
        <v>10.97</v>
      </c>
      <c r="AZ311" s="60">
        <v>3.56</v>
      </c>
      <c r="BA311" s="60">
        <v>3.8</v>
      </c>
      <c r="BB311" s="60">
        <v>0.13</v>
      </c>
      <c r="BC311" s="60">
        <v>10.14</v>
      </c>
      <c r="BD311" s="60"/>
      <c r="BE311" s="60"/>
      <c r="BF311" s="60">
        <v>0.28999999999999998</v>
      </c>
      <c r="BG311" s="60">
        <v>0.09</v>
      </c>
      <c r="BH311" s="75">
        <v>0</v>
      </c>
      <c r="BI311" s="72">
        <f t="shared" si="326"/>
        <v>22.445053999999999</v>
      </c>
      <c r="BJ311" s="76"/>
      <c r="BK311" s="77"/>
      <c r="BL311" s="78"/>
      <c r="BM311" s="78"/>
      <c r="BN311" s="77"/>
      <c r="BO311" s="78"/>
      <c r="BP311" s="78"/>
      <c r="BQ311" s="79">
        <f t="shared" si="327"/>
        <v>0</v>
      </c>
      <c r="BR311" s="80"/>
      <c r="BS311" s="77"/>
      <c r="BT311" s="77"/>
      <c r="BU311" s="77"/>
      <c r="BV311" s="77"/>
      <c r="BW311" s="77"/>
      <c r="BX311" s="77"/>
      <c r="BY311" s="72">
        <f t="shared" si="328"/>
        <v>0</v>
      </c>
      <c r="BZ311" s="73">
        <v>8.48</v>
      </c>
      <c r="CA311" s="60">
        <v>13.78</v>
      </c>
      <c r="CB311" s="60">
        <v>11.26</v>
      </c>
      <c r="CC311" s="60">
        <v>6.86</v>
      </c>
      <c r="CD311" s="65">
        <f t="shared" si="329"/>
        <v>80.896226415094347</v>
      </c>
      <c r="CE311" s="75">
        <v>0</v>
      </c>
      <c r="CF311" s="79">
        <f t="shared" si="330"/>
        <v>74.953066666666672</v>
      </c>
      <c r="CG311" s="71">
        <v>5.78</v>
      </c>
      <c r="CH311" s="60">
        <v>12.69</v>
      </c>
      <c r="CI311" s="60">
        <v>11</v>
      </c>
      <c r="CJ311" s="60">
        <v>2.91</v>
      </c>
      <c r="CK311" s="59">
        <f t="shared" si="345"/>
        <v>50.346020761245683</v>
      </c>
      <c r="CL311" s="75">
        <v>0</v>
      </c>
      <c r="CM311" s="72">
        <f t="shared" si="331"/>
        <v>34.389983333333333</v>
      </c>
      <c r="CN311" s="81">
        <f t="shared" si="332"/>
        <v>1</v>
      </c>
      <c r="CO311" s="59">
        <f t="shared" si="333"/>
        <v>46.386974000000002</v>
      </c>
      <c r="CP311" s="59">
        <f t="shared" si="334"/>
        <v>1</v>
      </c>
      <c r="CQ311" s="59">
        <f t="shared" si="335"/>
        <v>22.445053999999999</v>
      </c>
      <c r="CR311" s="59">
        <f>IF(AV311&gt;0,'Look Ups'!$L$3,0)</f>
        <v>1</v>
      </c>
      <c r="CS311" s="59">
        <f t="shared" si="336"/>
        <v>0</v>
      </c>
      <c r="CT311" s="59">
        <f t="shared" si="346"/>
        <v>0</v>
      </c>
      <c r="CU311" s="59">
        <f t="shared" si="347"/>
        <v>0</v>
      </c>
      <c r="CV311" s="79">
        <f t="shared" si="348"/>
        <v>0</v>
      </c>
      <c r="CW311" s="82" t="str">
        <f t="shared" si="337"/>
        <v>valid</v>
      </c>
      <c r="CX311" s="65" t="str">
        <f t="shared" si="338"/>
        <v>valid</v>
      </c>
      <c r="CY311" s="66" t="str">
        <f t="shared" si="351"/>
        <v>MGScrSp</v>
      </c>
      <c r="CZ311" s="81">
        <f t="shared" si="339"/>
        <v>68.832028000000008</v>
      </c>
      <c r="DA311" s="59">
        <f t="shared" si="340"/>
        <v>15.752403800000002</v>
      </c>
      <c r="DB311" s="59">
        <f t="shared" si="341"/>
        <v>4.1807252666666672</v>
      </c>
      <c r="DC311" s="59">
        <f t="shared" si="342"/>
        <v>15.489863736666667</v>
      </c>
      <c r="DD311" s="59">
        <f t="shared" si="343"/>
        <v>0.65697111333333336</v>
      </c>
      <c r="DE311" s="79">
        <f t="shared" si="344"/>
        <v>71.417755360000015</v>
      </c>
      <c r="DF311" s="83">
        <f t="shared" si="352"/>
        <v>84.978862849999999</v>
      </c>
    </row>
    <row r="312" spans="2:110" ht="16.5" customHeight="1" x14ac:dyDescent="0.25">
      <c r="B312" s="47"/>
      <c r="C312" s="47" t="s">
        <v>514</v>
      </c>
      <c r="D312" s="48" t="s">
        <v>515</v>
      </c>
      <c r="E312" s="49" t="s">
        <v>516</v>
      </c>
      <c r="F312" s="50">
        <f t="shared" si="315"/>
        <v>0.76417416795646531</v>
      </c>
      <c r="G312" s="50" t="str">
        <f t="shared" ca="1" si="349"/>
        <v>No</v>
      </c>
      <c r="H312" s="51" t="str">
        <f t="shared" si="350"/>
        <v>Main - Genoa - Spinnaker</v>
      </c>
      <c r="I312" s="52">
        <v>37878</v>
      </c>
      <c r="J312" s="52">
        <v>40468</v>
      </c>
      <c r="K312" s="53" t="s">
        <v>418</v>
      </c>
      <c r="L312" s="53" t="s">
        <v>126</v>
      </c>
      <c r="M312" s="54"/>
      <c r="N312" s="55" t="s">
        <v>127</v>
      </c>
      <c r="O312" s="55" t="s">
        <v>128</v>
      </c>
      <c r="P312" s="56"/>
      <c r="Q312" s="57">
        <v>7.88</v>
      </c>
      <c r="R312" s="58"/>
      <c r="S312" s="59">
        <f t="shared" si="320"/>
        <v>0.19700000000000001</v>
      </c>
      <c r="T312" s="60">
        <v>0.08</v>
      </c>
      <c r="U312" s="60">
        <v>0</v>
      </c>
      <c r="V312" s="61">
        <f t="shared" si="321"/>
        <v>7.8</v>
      </c>
      <c r="W312" s="62">
        <f>IF(RL&gt;0,IF(RL&gt;'Look Ups'!R$7,'Look Ups'!R$8,('Look Ups'!R$3*RL^3+'Look Ups'!R$4*RL^2+'Look Ups'!R$5*RL+'Look Ups'!R$6)),0)</f>
        <v>0.29308421600000001</v>
      </c>
      <c r="X312" s="63">
        <v>1230</v>
      </c>
      <c r="Y312" s="64"/>
      <c r="Z312" s="64"/>
      <c r="AA312" s="64"/>
      <c r="AB312" s="65">
        <f t="shared" si="322"/>
        <v>1230</v>
      </c>
      <c r="AC312" s="66">
        <f t="shared" si="323"/>
        <v>1230</v>
      </c>
      <c r="AD312" s="67" t="s">
        <v>154</v>
      </c>
      <c r="AE312" s="68" t="s">
        <v>130</v>
      </c>
      <c r="AF312" s="69" t="s">
        <v>131</v>
      </c>
      <c r="AG312" s="70">
        <f>IF(C312="",0,VLOOKUP(AD312,'Look Ups'!$B$3:$C$6,2,0)*VLOOKUP(AE312,'Look Ups'!$E$3:$F$5,2,0)*VLOOKUP(AF312,'Look Ups'!$H$3:$I$7,2,0))</f>
        <v>0.99</v>
      </c>
      <c r="AH312" s="71">
        <v>9.42</v>
      </c>
      <c r="AI312" s="60">
        <v>8.16</v>
      </c>
      <c r="AJ312" s="60">
        <v>3.25</v>
      </c>
      <c r="AK312" s="60">
        <v>0.78</v>
      </c>
      <c r="AL312" s="60">
        <v>0.54</v>
      </c>
      <c r="AM312" s="60">
        <v>9.0299999999999994</v>
      </c>
      <c r="AN312" s="60">
        <v>0.1</v>
      </c>
      <c r="AO312" s="60">
        <v>3.41</v>
      </c>
      <c r="AP312" s="60">
        <v>0.03</v>
      </c>
      <c r="AQ312" s="60"/>
      <c r="AR312" s="60" t="s">
        <v>132</v>
      </c>
      <c r="AS312" s="75">
        <v>0</v>
      </c>
      <c r="AT312" s="59">
        <f t="shared" si="324"/>
        <v>9.0599999999999987</v>
      </c>
      <c r="AU312" s="59">
        <f t="shared" si="325"/>
        <v>0</v>
      </c>
      <c r="AV312" s="72">
        <f>IF(C312="",0,(0.5*(_ML1*LPM)+0.5*(_ML1*HB)+0.66*(P*PR)+0.66*(_ML2*RDM)+0.66*(E*ER))*VLOOKUP(BATT,'Look Ups'!$N$3:$O$4,2,0))</f>
        <v>22.553021999999999</v>
      </c>
      <c r="AW312" s="73"/>
      <c r="AX312" s="74"/>
      <c r="AY312" s="71">
        <v>8.6999999999999993</v>
      </c>
      <c r="AZ312" s="60">
        <v>2.54</v>
      </c>
      <c r="BA312" s="60">
        <v>2.91</v>
      </c>
      <c r="BB312" s="60">
        <v>7.0000000000000007E-2</v>
      </c>
      <c r="BC312" s="60">
        <v>7.76</v>
      </c>
      <c r="BD312" s="60"/>
      <c r="BE312" s="60"/>
      <c r="BF312" s="60">
        <v>-7.0000000000000007E-2</v>
      </c>
      <c r="BG312" s="60">
        <v>0</v>
      </c>
      <c r="BH312" s="75" t="s">
        <v>517</v>
      </c>
      <c r="BI312" s="72">
        <f t="shared" si="326"/>
        <v>10.82493</v>
      </c>
      <c r="BJ312" s="76"/>
      <c r="BK312" s="77"/>
      <c r="BL312" s="78"/>
      <c r="BM312" s="78"/>
      <c r="BN312" s="77"/>
      <c r="BO312" s="78"/>
      <c r="BP312" s="78"/>
      <c r="BQ312" s="79">
        <f t="shared" si="327"/>
        <v>0</v>
      </c>
      <c r="BR312" s="80"/>
      <c r="BS312" s="77"/>
      <c r="BT312" s="77"/>
      <c r="BU312" s="77"/>
      <c r="BV312" s="77"/>
      <c r="BW312" s="77"/>
      <c r="BX312" s="77"/>
      <c r="BY312" s="72">
        <f t="shared" si="328"/>
        <v>0</v>
      </c>
      <c r="BZ312" s="73">
        <v>6.1</v>
      </c>
      <c r="CA312" s="60">
        <v>11.95</v>
      </c>
      <c r="CB312" s="60">
        <v>9.4499999999999993</v>
      </c>
      <c r="CC312" s="60">
        <v>5.49</v>
      </c>
      <c r="CD312" s="65">
        <f t="shared" si="329"/>
        <v>90.000000000000014</v>
      </c>
      <c r="CE312" s="60">
        <v>0</v>
      </c>
      <c r="CF312" s="79">
        <f t="shared" si="330"/>
        <v>50.040333333333336</v>
      </c>
      <c r="CG312" s="71"/>
      <c r="CH312" s="60"/>
      <c r="CI312" s="60"/>
      <c r="CJ312" s="60"/>
      <c r="CK312" s="59" t="str">
        <f t="shared" si="345"/>
        <v/>
      </c>
      <c r="CL312" s="60">
        <v>0</v>
      </c>
      <c r="CM312" s="72">
        <f t="shared" si="331"/>
        <v>0</v>
      </c>
      <c r="CN312" s="81">
        <f t="shared" si="332"/>
        <v>1</v>
      </c>
      <c r="CO312" s="59">
        <f t="shared" si="333"/>
        <v>22.553021999999999</v>
      </c>
      <c r="CP312" s="59">
        <f t="shared" si="334"/>
        <v>1</v>
      </c>
      <c r="CQ312" s="59">
        <f t="shared" si="335"/>
        <v>10.82493</v>
      </c>
      <c r="CR312" s="59">
        <f>IF(AV312&gt;0,'Look Ups'!$L$3,0)</f>
        <v>1</v>
      </c>
      <c r="CS312" s="59">
        <f t="shared" si="336"/>
        <v>0</v>
      </c>
      <c r="CT312" s="59">
        <f t="shared" si="346"/>
        <v>0</v>
      </c>
      <c r="CU312" s="59">
        <f t="shared" si="347"/>
        <v>0</v>
      </c>
      <c r="CV312" s="79">
        <f t="shared" si="348"/>
        <v>0</v>
      </c>
      <c r="CW312" s="82" t="str">
        <f t="shared" si="337"/>
        <v>-</v>
      </c>
      <c r="CX312" s="65" t="str">
        <f t="shared" si="338"/>
        <v>valid</v>
      </c>
      <c r="CY312" s="66" t="str">
        <f t="shared" si="351"/>
        <v>MGSp</v>
      </c>
      <c r="CZ312" s="81">
        <f t="shared" si="339"/>
        <v>33.377952000000001</v>
      </c>
      <c r="DA312" s="59">
        <f t="shared" si="340"/>
        <v>11.764621</v>
      </c>
      <c r="DB312" s="59">
        <f t="shared" si="341"/>
        <v>0</v>
      </c>
      <c r="DC312" s="59">
        <f t="shared" si="342"/>
        <v>11.568543983333333</v>
      </c>
      <c r="DD312" s="59">
        <f t="shared" si="343"/>
        <v>0</v>
      </c>
      <c r="DE312" s="79">
        <f t="shared" si="344"/>
        <v>34.644585935999999</v>
      </c>
      <c r="DF312" s="255">
        <f t="shared" si="352"/>
        <v>45.142572999999999</v>
      </c>
    </row>
    <row r="313" spans="2:110" ht="16.5" customHeight="1" x14ac:dyDescent="0.25">
      <c r="B313" s="47"/>
      <c r="C313" s="168" t="s">
        <v>820</v>
      </c>
      <c r="D313" s="184" t="s">
        <v>821</v>
      </c>
      <c r="E313" s="170" t="s">
        <v>822</v>
      </c>
      <c r="F313" s="50">
        <f t="shared" si="315"/>
        <v>0.79302045524395515</v>
      </c>
      <c r="G313" s="50" t="str">
        <f t="shared" ca="1" si="349"/>
        <v>No</v>
      </c>
      <c r="H313" s="51" t="str">
        <f t="shared" si="350"/>
        <v>Main - Genoa - Spinnaker</v>
      </c>
      <c r="I313" s="171">
        <v>38421</v>
      </c>
      <c r="J313" s="171"/>
      <c r="K313" s="172" t="s">
        <v>760</v>
      </c>
      <c r="L313" s="172" t="s">
        <v>187</v>
      </c>
      <c r="M313" s="171"/>
      <c r="N313" s="87" t="s">
        <v>149</v>
      </c>
      <c r="O313" s="87"/>
      <c r="P313" s="185">
        <v>6.2</v>
      </c>
      <c r="Q313" s="175">
        <v>11.85</v>
      </c>
      <c r="R313" s="78"/>
      <c r="S313" s="59">
        <f t="shared" si="320"/>
        <v>0.29625000000000001</v>
      </c>
      <c r="T313" s="176">
        <v>7.0000000000000007E-2</v>
      </c>
      <c r="U313" s="176">
        <v>0</v>
      </c>
      <c r="V313" s="61">
        <f t="shared" si="321"/>
        <v>11.78</v>
      </c>
      <c r="W313" s="62">
        <f>IF(RL&gt;0,IF(RL&gt;'Look Ups'!R$7,'Look Ups'!R$8,('Look Ups'!R$3*RL^3+'Look Ups'!R$4*RL^2+'Look Ups'!R$5*RL+'Look Ups'!R$6)),0)</f>
        <v>0.29987906781600004</v>
      </c>
      <c r="X313" s="177">
        <v>4045</v>
      </c>
      <c r="Y313" s="178">
        <v>0</v>
      </c>
      <c r="Z313" s="178"/>
      <c r="AA313" s="178"/>
      <c r="AB313" s="65">
        <f t="shared" si="322"/>
        <v>4045</v>
      </c>
      <c r="AC313" s="66">
        <f t="shared" si="323"/>
        <v>4045</v>
      </c>
      <c r="AD313" s="179" t="s">
        <v>129</v>
      </c>
      <c r="AE313" s="180" t="s">
        <v>130</v>
      </c>
      <c r="AF313" s="181" t="s">
        <v>131</v>
      </c>
      <c r="AG313" s="70">
        <f>IF(C313="",0,VLOOKUP(AD313,'Look Ups'!$B$3:$C$6,2,0)*VLOOKUP(AE313,'Look Ups'!$E$3:$F$5,2,0)*VLOOKUP(AF313,'Look Ups'!$H$3:$I$7,2,0))</f>
        <v>1</v>
      </c>
      <c r="AH313" s="80">
        <v>13.4</v>
      </c>
      <c r="AI313" s="77">
        <v>13.4</v>
      </c>
      <c r="AJ313" s="77">
        <v>4.4000000000000004</v>
      </c>
      <c r="AK313" s="77">
        <v>0.28000000000000003</v>
      </c>
      <c r="AL313" s="77">
        <v>1.31</v>
      </c>
      <c r="AM313" s="77">
        <v>13</v>
      </c>
      <c r="AN313" s="77">
        <v>7.0000000000000007E-2</v>
      </c>
      <c r="AO313" s="77">
        <v>4.5</v>
      </c>
      <c r="AP313" s="77">
        <v>0.04</v>
      </c>
      <c r="AQ313" s="77">
        <v>0</v>
      </c>
      <c r="AR313" s="77" t="s">
        <v>132</v>
      </c>
      <c r="AS313" s="87">
        <v>0</v>
      </c>
      <c r="AT313" s="59">
        <f t="shared" si="324"/>
        <v>13.04</v>
      </c>
      <c r="AU313" s="59">
        <f t="shared" si="325"/>
        <v>0</v>
      </c>
      <c r="AV313" s="72">
        <f>IF(C313="",0,(0.5*(_ML1*LPM)+0.5*(_ML1*HB)+0.66*(P*PR)+0.66*(_ML2*RDM)+0.66*(E*ER))*VLOOKUP(BATT,'Look Ups'!$N$3:$O$4,2,0))</f>
        <v>43.661040000000007</v>
      </c>
      <c r="AW313" s="182"/>
      <c r="AX313" s="183"/>
      <c r="AY313" s="80">
        <v>13.05</v>
      </c>
      <c r="AZ313" s="77">
        <v>4.1100000000000003</v>
      </c>
      <c r="BA313" s="77">
        <v>4.9000000000000004</v>
      </c>
      <c r="BB313" s="77">
        <v>0.05</v>
      </c>
      <c r="BC313" s="77">
        <v>11.1</v>
      </c>
      <c r="BD313" s="77"/>
      <c r="BE313" s="77"/>
      <c r="BF313" s="77">
        <v>-0.36</v>
      </c>
      <c r="BG313" s="77">
        <v>-0.14000000000000001</v>
      </c>
      <c r="BH313" s="87">
        <v>0</v>
      </c>
      <c r="BI313" s="72">
        <f t="shared" si="326"/>
        <v>23.136270000000003</v>
      </c>
      <c r="BJ313" s="76"/>
      <c r="BK313" s="77"/>
      <c r="BL313" s="78"/>
      <c r="BM313" s="78"/>
      <c r="BN313" s="77"/>
      <c r="BO313" s="78"/>
      <c r="BP313" s="78"/>
      <c r="BQ313" s="79">
        <f t="shared" si="327"/>
        <v>0</v>
      </c>
      <c r="BR313" s="80"/>
      <c r="BS313" s="77"/>
      <c r="BT313" s="77"/>
      <c r="BU313" s="77"/>
      <c r="BV313" s="77"/>
      <c r="BW313" s="77"/>
      <c r="BX313" s="77"/>
      <c r="BY313" s="72">
        <f t="shared" si="328"/>
        <v>0</v>
      </c>
      <c r="BZ313" s="182">
        <v>9.82</v>
      </c>
      <c r="CA313" s="77">
        <v>15.08</v>
      </c>
      <c r="CB313" s="77">
        <v>12.73</v>
      </c>
      <c r="CC313" s="77">
        <v>8.41</v>
      </c>
      <c r="CD313" s="65">
        <f t="shared" si="329"/>
        <v>85.641547861507121</v>
      </c>
      <c r="CE313" s="87">
        <v>0</v>
      </c>
      <c r="CF313" s="79">
        <f t="shared" si="330"/>
        <v>100.71855000000002</v>
      </c>
      <c r="CG313" s="80"/>
      <c r="CH313" s="77"/>
      <c r="CI313" s="77"/>
      <c r="CJ313" s="77"/>
      <c r="CK313" s="59" t="str">
        <f t="shared" si="345"/>
        <v/>
      </c>
      <c r="CL313" s="87">
        <v>0</v>
      </c>
      <c r="CM313" s="72">
        <f t="shared" si="331"/>
        <v>0</v>
      </c>
      <c r="CN313" s="81">
        <f t="shared" si="332"/>
        <v>1</v>
      </c>
      <c r="CO313" s="59">
        <f t="shared" si="333"/>
        <v>43.661040000000007</v>
      </c>
      <c r="CP313" s="59">
        <f t="shared" si="334"/>
        <v>1</v>
      </c>
      <c r="CQ313" s="59">
        <f t="shared" si="335"/>
        <v>23.136270000000003</v>
      </c>
      <c r="CR313" s="59">
        <f>IF(AV313&gt;0,'Look Ups'!$L$3,0)</f>
        <v>1</v>
      </c>
      <c r="CS313" s="59">
        <f t="shared" si="336"/>
        <v>0</v>
      </c>
      <c r="CT313" s="59">
        <f t="shared" si="346"/>
        <v>0</v>
      </c>
      <c r="CU313" s="59">
        <f t="shared" si="347"/>
        <v>0</v>
      </c>
      <c r="CV313" s="79">
        <f t="shared" si="348"/>
        <v>0</v>
      </c>
      <c r="CW313" s="82" t="str">
        <f t="shared" si="337"/>
        <v>-</v>
      </c>
      <c r="CX313" s="65" t="str">
        <f t="shared" si="338"/>
        <v>valid</v>
      </c>
      <c r="CY313" s="66" t="str">
        <f t="shared" si="351"/>
        <v>MGSp</v>
      </c>
      <c r="CZ313" s="81">
        <f t="shared" si="339"/>
        <v>66.79731000000001</v>
      </c>
      <c r="DA313" s="59">
        <f t="shared" si="340"/>
        <v>23.274684000000008</v>
      </c>
      <c r="DB313" s="59">
        <f t="shared" si="341"/>
        <v>0</v>
      </c>
      <c r="DC313" s="59">
        <f t="shared" si="342"/>
        <v>22.886772600000008</v>
      </c>
      <c r="DD313" s="59">
        <f t="shared" si="343"/>
        <v>0</v>
      </c>
      <c r="DE313" s="79">
        <f t="shared" si="344"/>
        <v>69.013985160000004</v>
      </c>
      <c r="DF313" s="83">
        <f t="shared" si="352"/>
        <v>90.071994000000018</v>
      </c>
    </row>
    <row r="314" spans="2:110" ht="16.5" customHeight="1" x14ac:dyDescent="0.25">
      <c r="B314" s="168"/>
      <c r="C314" s="168" t="s">
        <v>823</v>
      </c>
      <c r="D314" s="169" t="s">
        <v>824</v>
      </c>
      <c r="E314" s="170" t="s">
        <v>898</v>
      </c>
      <c r="F314" s="50">
        <f t="shared" si="315"/>
        <v>1.0147247558956403</v>
      </c>
      <c r="G314" s="50" t="str">
        <f t="shared" ca="1" si="349"/>
        <v>Yes</v>
      </c>
      <c r="H314" s="51" t="str">
        <f t="shared" si="350"/>
        <v>Main - Genoa - Screacher - Spinnaker</v>
      </c>
      <c r="I314" s="171">
        <v>42823</v>
      </c>
      <c r="J314" s="171">
        <v>43398</v>
      </c>
      <c r="K314" s="172" t="s">
        <v>506</v>
      </c>
      <c r="L314" s="172" t="s">
        <v>841</v>
      </c>
      <c r="M314" s="171"/>
      <c r="N314" s="173" t="s">
        <v>149</v>
      </c>
      <c r="O314" s="173"/>
      <c r="P314" s="174">
        <v>7.6</v>
      </c>
      <c r="Q314" s="175">
        <v>11.7</v>
      </c>
      <c r="R314" s="78"/>
      <c r="S314" s="59">
        <f t="shared" si="320"/>
        <v>0.29249999999999998</v>
      </c>
      <c r="T314" s="176">
        <v>0.23</v>
      </c>
      <c r="U314" s="176">
        <v>0</v>
      </c>
      <c r="V314" s="61">
        <f t="shared" si="321"/>
        <v>11.469999999999999</v>
      </c>
      <c r="W314" s="62">
        <f>IF(RL&gt;0,IF(RL&gt;'Look Ups'!R$7,'Look Ups'!R$8,('Look Ups'!R$3*RL^3+'Look Ups'!R$4*RL^2+'Look Ups'!R$5*RL+'Look Ups'!R$6)),0)</f>
        <v>0.29977685625900002</v>
      </c>
      <c r="X314" s="177">
        <v>3260</v>
      </c>
      <c r="Y314" s="178"/>
      <c r="Z314" s="292"/>
      <c r="AA314" s="292"/>
      <c r="AB314" s="65">
        <f t="shared" si="322"/>
        <v>3260</v>
      </c>
      <c r="AC314" s="66">
        <f t="shared" si="323"/>
        <v>3260</v>
      </c>
      <c r="AD314" s="179" t="s">
        <v>129</v>
      </c>
      <c r="AE314" s="180" t="s">
        <v>130</v>
      </c>
      <c r="AF314" s="181" t="s">
        <v>131</v>
      </c>
      <c r="AG314" s="70">
        <f>IF(C314="",0,VLOOKUP(AD314,'Look Ups'!$B$3:$C$6,2,0)*VLOOKUP(AE314,'Look Ups'!$E$3:$F$5,2,0)*VLOOKUP(AF314,'Look Ups'!$H$3:$I$7,2,0))</f>
        <v>1</v>
      </c>
      <c r="AH314" s="80">
        <v>17.350000000000001</v>
      </c>
      <c r="AI314" s="77">
        <v>16.829999999999998</v>
      </c>
      <c r="AJ314" s="77">
        <v>4.8499999999999996</v>
      </c>
      <c r="AK314" s="77">
        <v>1.92</v>
      </c>
      <c r="AL314" s="77">
        <v>0.73</v>
      </c>
      <c r="AM314" s="77">
        <v>17.14</v>
      </c>
      <c r="AN314" s="77">
        <v>0.08</v>
      </c>
      <c r="AO314" s="77">
        <v>4.95</v>
      </c>
      <c r="AP314" s="77">
        <v>0</v>
      </c>
      <c r="AQ314" s="77">
        <v>0.87</v>
      </c>
      <c r="AR314" s="77" t="s">
        <v>132</v>
      </c>
      <c r="AS314" s="87">
        <v>0</v>
      </c>
      <c r="AT314" s="59">
        <f t="shared" si="324"/>
        <v>17.14</v>
      </c>
      <c r="AU314" s="59">
        <f t="shared" si="325"/>
        <v>5.5919249999999998</v>
      </c>
      <c r="AV314" s="72">
        <f>IF(C314="",0,(0.5*(_ML1*LPM)+0.5*(_ML1*HB)+0.66*(P*PR)+0.66*(_ML2*RDM)+0.66*(E*ER))*VLOOKUP(BATT,'Look Ups'!$N$3:$O$4,2,0))</f>
        <v>67.743436000000003</v>
      </c>
      <c r="AW314" s="182"/>
      <c r="AX314" s="183"/>
      <c r="AY314" s="80">
        <v>14.23</v>
      </c>
      <c r="AZ314" s="77">
        <v>3.5</v>
      </c>
      <c r="BA314" s="77">
        <v>3.64</v>
      </c>
      <c r="BB314" s="77">
        <v>0.27</v>
      </c>
      <c r="BC314" s="77">
        <v>13.24</v>
      </c>
      <c r="BD314" s="77">
        <v>13.2</v>
      </c>
      <c r="BE314" s="77">
        <v>0.26</v>
      </c>
      <c r="BF314" s="77">
        <v>0.18</v>
      </c>
      <c r="BG314" s="77">
        <v>-0.06</v>
      </c>
      <c r="BH314" s="87"/>
      <c r="BI314" s="72">
        <f t="shared" si="326"/>
        <v>28.277000000000001</v>
      </c>
      <c r="BJ314" s="76"/>
      <c r="BK314" s="77"/>
      <c r="BL314" s="78"/>
      <c r="BM314" s="78"/>
      <c r="BN314" s="77"/>
      <c r="BO314" s="78"/>
      <c r="BP314" s="78"/>
      <c r="BQ314" s="79">
        <f t="shared" si="327"/>
        <v>0</v>
      </c>
      <c r="BR314" s="80"/>
      <c r="BS314" s="77"/>
      <c r="BT314" s="77"/>
      <c r="BU314" s="77"/>
      <c r="BV314" s="77"/>
      <c r="BW314" s="77"/>
      <c r="BX314" s="77"/>
      <c r="BY314" s="72">
        <f t="shared" si="328"/>
        <v>0</v>
      </c>
      <c r="BZ314" s="182">
        <v>11.39</v>
      </c>
      <c r="CA314" s="77">
        <v>20.25</v>
      </c>
      <c r="CB314" s="77">
        <v>17.63</v>
      </c>
      <c r="CC314" s="77">
        <v>9.48</v>
      </c>
      <c r="CD314" s="65">
        <f t="shared" si="329"/>
        <v>83.230904302019312</v>
      </c>
      <c r="CE314" s="77">
        <v>0</v>
      </c>
      <c r="CF314" s="79">
        <f t="shared" si="330"/>
        <v>155.65523333333334</v>
      </c>
      <c r="CG314" s="80">
        <v>9.92</v>
      </c>
      <c r="CH314" s="77">
        <v>15.2</v>
      </c>
      <c r="CI314" s="77">
        <v>17.3</v>
      </c>
      <c r="CJ314" s="77">
        <v>6.38</v>
      </c>
      <c r="CK314" s="59">
        <f t="shared" si="345"/>
        <v>64.314516129032256</v>
      </c>
      <c r="CL314" s="77">
        <v>0</v>
      </c>
      <c r="CM314" s="72">
        <f t="shared" si="331"/>
        <v>95.98333333333332</v>
      </c>
      <c r="CN314" s="81">
        <f t="shared" si="332"/>
        <v>1</v>
      </c>
      <c r="CO314" s="59">
        <f t="shared" si="333"/>
        <v>73.335361000000006</v>
      </c>
      <c r="CP314" s="59">
        <f t="shared" si="334"/>
        <v>1</v>
      </c>
      <c r="CQ314" s="59">
        <f t="shared" si="335"/>
        <v>28.277000000000001</v>
      </c>
      <c r="CR314" s="59">
        <f>IF(AV314&gt;0,'Look Ups'!$L$3,0)</f>
        <v>1</v>
      </c>
      <c r="CS314" s="59">
        <f t="shared" si="336"/>
        <v>0</v>
      </c>
      <c r="CT314" s="59">
        <f t="shared" si="346"/>
        <v>0</v>
      </c>
      <c r="CU314" s="59">
        <f t="shared" si="347"/>
        <v>0</v>
      </c>
      <c r="CV314" s="79">
        <f t="shared" si="348"/>
        <v>0</v>
      </c>
      <c r="CW314" s="82" t="str">
        <f t="shared" si="337"/>
        <v>valid</v>
      </c>
      <c r="CX314" s="65" t="str">
        <f t="shared" si="338"/>
        <v>valid</v>
      </c>
      <c r="CY314" s="66" t="str">
        <f t="shared" si="351"/>
        <v>MGScrSp</v>
      </c>
      <c r="CZ314" s="81">
        <f t="shared" si="339"/>
        <v>101.61236100000001</v>
      </c>
      <c r="DA314" s="59">
        <f t="shared" si="340"/>
        <v>38.213470000000001</v>
      </c>
      <c r="DB314" s="59">
        <f t="shared" si="341"/>
        <v>23.697216666666659</v>
      </c>
      <c r="DC314" s="59">
        <f t="shared" si="342"/>
        <v>37.576578833333336</v>
      </c>
      <c r="DD314" s="59">
        <f t="shared" si="343"/>
        <v>3.7238483333333328</v>
      </c>
      <c r="DE314" s="79">
        <f t="shared" si="344"/>
        <v>106.47866398800001</v>
      </c>
      <c r="DF314" s="83">
        <f t="shared" si="352"/>
        <v>142.91278816666667</v>
      </c>
    </row>
    <row r="315" spans="2:110" ht="16.5" customHeight="1" x14ac:dyDescent="0.25">
      <c r="B315" s="168"/>
      <c r="C315" s="168" t="s">
        <v>825</v>
      </c>
      <c r="D315" s="184" t="s">
        <v>632</v>
      </c>
      <c r="E315" s="170" t="s">
        <v>520</v>
      </c>
      <c r="F315" s="50">
        <f t="shared" si="315"/>
        <v>0.7769185719129208</v>
      </c>
      <c r="G315" s="50" t="str">
        <f t="shared" ca="1" si="349"/>
        <v>No</v>
      </c>
      <c r="H315" s="51" t="str">
        <f t="shared" si="350"/>
        <v>Main - Genoa - Spinnaker</v>
      </c>
      <c r="I315" s="171">
        <v>38803</v>
      </c>
      <c r="J315" s="171">
        <v>38980</v>
      </c>
      <c r="K315" s="172" t="s">
        <v>142</v>
      </c>
      <c r="L315" s="172" t="s">
        <v>212</v>
      </c>
      <c r="M315" s="171"/>
      <c r="N315" s="173" t="s">
        <v>537</v>
      </c>
      <c r="O315" s="173"/>
      <c r="P315" s="185">
        <v>5.5</v>
      </c>
      <c r="Q315" s="175">
        <v>7.42</v>
      </c>
      <c r="R315" s="78"/>
      <c r="S315" s="59">
        <f t="shared" si="320"/>
        <v>0.1855</v>
      </c>
      <c r="T315" s="176">
        <v>0.23</v>
      </c>
      <c r="U315" s="176">
        <v>0</v>
      </c>
      <c r="V315" s="61">
        <f t="shared" si="321"/>
        <v>7.1899999999999995</v>
      </c>
      <c r="W315" s="62">
        <f>IF(RL&gt;0,IF(RL&gt;'Look Ups'!R$7,'Look Ups'!R$8,('Look Ups'!R$3*RL^3+'Look Ups'!R$4*RL^2+'Look Ups'!R$5*RL+'Look Ups'!R$6)),0)</f>
        <v>0.29059639364700002</v>
      </c>
      <c r="X315" s="177">
        <v>1120</v>
      </c>
      <c r="Y315" s="178"/>
      <c r="Z315" s="178"/>
      <c r="AA315" s="178"/>
      <c r="AB315" s="65">
        <f t="shared" si="322"/>
        <v>1120</v>
      </c>
      <c r="AC315" s="66">
        <f t="shared" si="323"/>
        <v>1120</v>
      </c>
      <c r="AD315" s="179" t="s">
        <v>129</v>
      </c>
      <c r="AE315" s="180" t="s">
        <v>130</v>
      </c>
      <c r="AF315" s="181" t="s">
        <v>131</v>
      </c>
      <c r="AG315" s="70">
        <f>IF(C315="",0,VLOOKUP(AD315,'Look Ups'!$B$3:$C$6,2,0)*VLOOKUP(AE315,'Look Ups'!$E$3:$F$5,2,0)*VLOOKUP(AF315,'Look Ups'!$H$3:$I$7,2,0))</f>
        <v>1</v>
      </c>
      <c r="AH315" s="80">
        <v>9.35</v>
      </c>
      <c r="AI315" s="77">
        <v>9.0500000000000007</v>
      </c>
      <c r="AJ315" s="77">
        <v>3.29</v>
      </c>
      <c r="AK315" s="77">
        <v>0.68</v>
      </c>
      <c r="AL315" s="77">
        <v>0.62</v>
      </c>
      <c r="AM315" s="77">
        <v>8.74</v>
      </c>
      <c r="AN315" s="77">
        <v>0.1</v>
      </c>
      <c r="AO315" s="77">
        <v>3.53</v>
      </c>
      <c r="AP315" s="77">
        <v>0.03</v>
      </c>
      <c r="AQ315" s="77">
        <v>0.4</v>
      </c>
      <c r="AR315" s="77" t="s">
        <v>132</v>
      </c>
      <c r="AS315" s="87">
        <v>0</v>
      </c>
      <c r="AT315" s="59">
        <f t="shared" si="324"/>
        <v>8.77</v>
      </c>
      <c r="AU315" s="59">
        <f t="shared" si="325"/>
        <v>1.3109999999999999</v>
      </c>
      <c r="AV315" s="72">
        <f>IF(C315="",0,(0.5*(_ML1*LPM)+0.5*(_ML1*HB)+0.66*(P*PR)+0.66*(_ML2*RDM)+0.66*(E*ER))*VLOOKUP(BATT,'Look Ups'!$N$3:$O$4,2,0))</f>
        <v>22.909744000000003</v>
      </c>
      <c r="AW315" s="182"/>
      <c r="AX315" s="183"/>
      <c r="AY315" s="80">
        <v>8.18</v>
      </c>
      <c r="AZ315" s="77">
        <v>2.96</v>
      </c>
      <c r="BA315" s="77">
        <v>3.27</v>
      </c>
      <c r="BB315" s="77">
        <v>0.06</v>
      </c>
      <c r="BC315" s="77">
        <v>7.32</v>
      </c>
      <c r="BD315" s="77"/>
      <c r="BE315" s="77"/>
      <c r="BF315" s="77">
        <v>-0.01</v>
      </c>
      <c r="BG315" s="77">
        <v>0.03</v>
      </c>
      <c r="BH315" s="87">
        <v>0</v>
      </c>
      <c r="BI315" s="72">
        <f t="shared" si="326"/>
        <v>12.349544</v>
      </c>
      <c r="BJ315" s="76"/>
      <c r="BK315" s="77"/>
      <c r="BL315" s="78"/>
      <c r="BM315" s="78"/>
      <c r="BN315" s="77"/>
      <c r="BO315" s="78"/>
      <c r="BP315" s="78"/>
      <c r="BQ315" s="79">
        <f t="shared" si="327"/>
        <v>0</v>
      </c>
      <c r="BR315" s="80"/>
      <c r="BS315" s="77"/>
      <c r="BT315" s="77"/>
      <c r="BU315" s="77"/>
      <c r="BV315" s="77"/>
      <c r="BW315" s="77"/>
      <c r="BX315" s="77"/>
      <c r="BY315" s="72">
        <f t="shared" si="328"/>
        <v>0</v>
      </c>
      <c r="BZ315" s="182">
        <v>6.4</v>
      </c>
      <c r="CA315" s="77">
        <v>10.02</v>
      </c>
      <c r="CB315" s="77">
        <v>8.17</v>
      </c>
      <c r="CC315" s="77">
        <v>5.45</v>
      </c>
      <c r="CD315" s="65">
        <f t="shared" si="329"/>
        <v>85.15625</v>
      </c>
      <c r="CE315" s="87">
        <v>0</v>
      </c>
      <c r="CF315" s="79">
        <f t="shared" si="330"/>
        <v>42.746499999999997</v>
      </c>
      <c r="CG315" s="80"/>
      <c r="CH315" s="77"/>
      <c r="CI315" s="77"/>
      <c r="CJ315" s="77"/>
      <c r="CK315" s="59" t="str">
        <f t="shared" si="345"/>
        <v/>
      </c>
      <c r="CL315" s="87">
        <v>0</v>
      </c>
      <c r="CM315" s="72">
        <f t="shared" si="331"/>
        <v>0</v>
      </c>
      <c r="CN315" s="81">
        <f t="shared" si="332"/>
        <v>1</v>
      </c>
      <c r="CO315" s="59">
        <f t="shared" si="333"/>
        <v>24.220744000000003</v>
      </c>
      <c r="CP315" s="59">
        <f t="shared" si="334"/>
        <v>1</v>
      </c>
      <c r="CQ315" s="59">
        <f t="shared" si="335"/>
        <v>12.349544</v>
      </c>
      <c r="CR315" s="59">
        <f>IF(AV315&gt;0,'Look Ups'!$L$3,0)</f>
        <v>1</v>
      </c>
      <c r="CS315" s="59">
        <f t="shared" si="336"/>
        <v>0</v>
      </c>
      <c r="CT315" s="59">
        <f t="shared" si="346"/>
        <v>0</v>
      </c>
      <c r="CU315" s="59">
        <f t="shared" si="347"/>
        <v>0</v>
      </c>
      <c r="CV315" s="79">
        <f t="shared" si="348"/>
        <v>0</v>
      </c>
      <c r="CW315" s="82" t="str">
        <f t="shared" si="337"/>
        <v>-</v>
      </c>
      <c r="CX315" s="65" t="str">
        <f t="shared" si="338"/>
        <v>valid</v>
      </c>
      <c r="CY315" s="66" t="str">
        <f t="shared" si="351"/>
        <v>MGSp</v>
      </c>
      <c r="CZ315" s="81">
        <f t="shared" si="339"/>
        <v>36.570288000000005</v>
      </c>
      <c r="DA315" s="59">
        <f t="shared" si="340"/>
        <v>9.119086799999998</v>
      </c>
      <c r="DB315" s="59">
        <f t="shared" si="341"/>
        <v>0</v>
      </c>
      <c r="DC315" s="59">
        <f t="shared" si="342"/>
        <v>8.9671020199999987</v>
      </c>
      <c r="DD315" s="59">
        <f t="shared" si="343"/>
        <v>0</v>
      </c>
      <c r="DE315" s="79">
        <f t="shared" si="344"/>
        <v>37.852377600000004</v>
      </c>
      <c r="DF315" s="83">
        <f t="shared" si="352"/>
        <v>45.689374800000003</v>
      </c>
    </row>
    <row r="316" spans="2:110" ht="16.5" customHeight="1" x14ac:dyDescent="0.25">
      <c r="B316" s="168"/>
      <c r="C316" s="47" t="s">
        <v>519</v>
      </c>
      <c r="D316" s="48" t="s">
        <v>323</v>
      </c>
      <c r="E316" s="49" t="s">
        <v>851</v>
      </c>
      <c r="F316" s="50">
        <f t="shared" si="315"/>
        <v>0.85753882313027696</v>
      </c>
      <c r="G316" s="50" t="str">
        <f t="shared" ca="1" si="349"/>
        <v>No</v>
      </c>
      <c r="H316" s="51" t="str">
        <f t="shared" si="350"/>
        <v>Main - Genoa - Screacher - Spinnaker</v>
      </c>
      <c r="I316" s="52">
        <v>38847</v>
      </c>
      <c r="J316" s="52">
        <v>41551</v>
      </c>
      <c r="K316" s="53" t="s">
        <v>299</v>
      </c>
      <c r="L316" s="53" t="s">
        <v>239</v>
      </c>
      <c r="M316" s="54"/>
      <c r="N316" s="55" t="s">
        <v>127</v>
      </c>
      <c r="O316" s="55" t="s">
        <v>128</v>
      </c>
      <c r="P316" s="56"/>
      <c r="Q316" s="57">
        <v>7.38</v>
      </c>
      <c r="R316" s="58"/>
      <c r="S316" s="59">
        <f t="shared" si="320"/>
        <v>0.1845</v>
      </c>
      <c r="T316" s="60">
        <v>0.2</v>
      </c>
      <c r="U316" s="60">
        <v>0</v>
      </c>
      <c r="V316" s="61">
        <f t="shared" si="321"/>
        <v>7.18</v>
      </c>
      <c r="W316" s="62">
        <f>IF(RL&gt;0,IF(RL&gt;'Look Ups'!R$7,'Look Ups'!R$8,('Look Ups'!R$3*RL^3+'Look Ups'!R$4*RL^2+'Look Ups'!R$5*RL+'Look Ups'!R$6)),0)</f>
        <v>0.29055146565599999</v>
      </c>
      <c r="X316" s="63">
        <v>935</v>
      </c>
      <c r="Y316" s="64"/>
      <c r="Z316" s="64"/>
      <c r="AA316" s="64"/>
      <c r="AB316" s="65">
        <f t="shared" si="322"/>
        <v>935</v>
      </c>
      <c r="AC316" s="66">
        <f t="shared" si="323"/>
        <v>935</v>
      </c>
      <c r="AD316" s="67" t="s">
        <v>129</v>
      </c>
      <c r="AE316" s="68" t="s">
        <v>130</v>
      </c>
      <c r="AF316" s="69" t="s">
        <v>131</v>
      </c>
      <c r="AG316" s="70">
        <f>IF(C316="",0,VLOOKUP(AD316,'Look Ups'!$B$3:$C$6,2,0)*VLOOKUP(AE316,'Look Ups'!$E$3:$F$5,2,0)*VLOOKUP(AF316,'Look Ups'!$H$3:$I$7,2,0))</f>
        <v>1</v>
      </c>
      <c r="AH316" s="71">
        <v>10</v>
      </c>
      <c r="AI316" s="60">
        <v>9.8699999999999992</v>
      </c>
      <c r="AJ316" s="60">
        <v>3.1</v>
      </c>
      <c r="AK316" s="60">
        <v>1.1200000000000001</v>
      </c>
      <c r="AL316" s="60">
        <v>0.22</v>
      </c>
      <c r="AM316" s="60">
        <v>9.67</v>
      </c>
      <c r="AN316" s="60">
        <v>0.126</v>
      </c>
      <c r="AO316" s="60">
        <v>3.2349999999999999</v>
      </c>
      <c r="AP316" s="60">
        <v>0.04</v>
      </c>
      <c r="AQ316" s="60">
        <v>0.49</v>
      </c>
      <c r="AR316" s="60" t="s">
        <v>132</v>
      </c>
      <c r="AS316" s="75">
        <v>0</v>
      </c>
      <c r="AT316" s="59">
        <f t="shared" si="324"/>
        <v>9.7099999999999991</v>
      </c>
      <c r="AU316" s="59">
        <f t="shared" si="325"/>
        <v>1.7768624999999998</v>
      </c>
      <c r="AV316" s="72">
        <f>IF(C316="",0,(0.5*(_ML1*LPM)+0.5*(_ML1*HB)+0.66*(P*PR)+0.66*(_ML2*RDM)+0.66*(E*ER))*VLOOKUP(BATT,'Look Ups'!$N$3:$O$4,2,0))</f>
        <v>23.4226852</v>
      </c>
      <c r="AW316" s="73"/>
      <c r="AX316" s="74"/>
      <c r="AY316" s="71">
        <v>9.1</v>
      </c>
      <c r="AZ316" s="60">
        <v>2.4900000000000002</v>
      </c>
      <c r="BA316" s="60">
        <v>2.78</v>
      </c>
      <c r="BB316" s="60">
        <v>0.27</v>
      </c>
      <c r="BC316" s="60">
        <v>8.15</v>
      </c>
      <c r="BD316" s="60"/>
      <c r="BE316" s="60"/>
      <c r="BF316" s="60">
        <v>0.27</v>
      </c>
      <c r="BG316" s="60">
        <v>0</v>
      </c>
      <c r="BH316" s="75">
        <v>0</v>
      </c>
      <c r="BI316" s="72">
        <f t="shared" si="326"/>
        <v>13.277226000000001</v>
      </c>
      <c r="BJ316" s="76"/>
      <c r="BK316" s="77"/>
      <c r="BL316" s="78"/>
      <c r="BM316" s="78"/>
      <c r="BN316" s="77"/>
      <c r="BO316" s="78"/>
      <c r="BP316" s="78"/>
      <c r="BQ316" s="79">
        <f t="shared" si="327"/>
        <v>0</v>
      </c>
      <c r="BR316" s="80"/>
      <c r="BS316" s="77"/>
      <c r="BT316" s="77"/>
      <c r="BU316" s="77"/>
      <c r="BV316" s="77"/>
      <c r="BW316" s="77"/>
      <c r="BX316" s="77"/>
      <c r="BY316" s="72">
        <f t="shared" si="328"/>
        <v>0</v>
      </c>
      <c r="BZ316" s="73">
        <v>6.93</v>
      </c>
      <c r="CA316" s="60">
        <v>10.74</v>
      </c>
      <c r="CB316" s="60">
        <v>9.43</v>
      </c>
      <c r="CC316" s="60">
        <v>6.01</v>
      </c>
      <c r="CD316" s="65">
        <f t="shared" si="329"/>
        <v>86.724386724386733</v>
      </c>
      <c r="CE316" s="60">
        <v>0</v>
      </c>
      <c r="CF316" s="79">
        <f t="shared" si="330"/>
        <v>52.055408333333332</v>
      </c>
      <c r="CG316" s="71">
        <v>5.38</v>
      </c>
      <c r="CH316" s="60">
        <v>9.76</v>
      </c>
      <c r="CI316" s="60">
        <v>8.82</v>
      </c>
      <c r="CJ316" s="60">
        <v>2.7</v>
      </c>
      <c r="CK316" s="59">
        <f t="shared" si="345"/>
        <v>50.185873605947961</v>
      </c>
      <c r="CL316" s="60">
        <v>0</v>
      </c>
      <c r="CM316" s="72">
        <f t="shared" si="331"/>
        <v>25.052033333333334</v>
      </c>
      <c r="CN316" s="81">
        <f t="shared" si="332"/>
        <v>1</v>
      </c>
      <c r="CO316" s="59">
        <f t="shared" si="333"/>
        <v>25.199547699999997</v>
      </c>
      <c r="CP316" s="59">
        <f t="shared" si="334"/>
        <v>1</v>
      </c>
      <c r="CQ316" s="59">
        <f t="shared" si="335"/>
        <v>13.277226000000001</v>
      </c>
      <c r="CR316" s="59">
        <f>IF(AV316&gt;0,'Look Ups'!$L$3,0)</f>
        <v>1</v>
      </c>
      <c r="CS316" s="59">
        <f t="shared" si="336"/>
        <v>0</v>
      </c>
      <c r="CT316" s="59">
        <f t="shared" si="346"/>
        <v>0</v>
      </c>
      <c r="CU316" s="59">
        <f t="shared" si="347"/>
        <v>0</v>
      </c>
      <c r="CV316" s="79">
        <f t="shared" si="348"/>
        <v>0</v>
      </c>
      <c r="CW316" s="82" t="str">
        <f t="shared" si="337"/>
        <v>valid</v>
      </c>
      <c r="CX316" s="65" t="str">
        <f t="shared" si="338"/>
        <v>valid</v>
      </c>
      <c r="CY316" s="66" t="str">
        <f t="shared" si="351"/>
        <v>MGScrSp</v>
      </c>
      <c r="CZ316" s="81">
        <f t="shared" si="339"/>
        <v>38.476773699999995</v>
      </c>
      <c r="DA316" s="59">
        <f t="shared" si="340"/>
        <v>11.6334547</v>
      </c>
      <c r="DB316" s="59">
        <f t="shared" si="341"/>
        <v>4.1211825666666666</v>
      </c>
      <c r="DC316" s="59">
        <f t="shared" si="342"/>
        <v>11.439563788333333</v>
      </c>
      <c r="DD316" s="59">
        <f t="shared" si="343"/>
        <v>0.64761440333333331</v>
      </c>
      <c r="DE316" s="79">
        <f t="shared" si="344"/>
        <v>39.764384443599994</v>
      </c>
      <c r="DF316" s="83">
        <f t="shared" si="319"/>
        <v>50.563951891666662</v>
      </c>
    </row>
    <row r="317" spans="2:110" ht="16.5" customHeight="1" x14ac:dyDescent="0.25">
      <c r="B317" s="47"/>
      <c r="C317" s="168"/>
      <c r="D317" s="169"/>
      <c r="E317" s="170"/>
      <c r="F317" s="50">
        <f t="shared" si="315"/>
        <v>0</v>
      </c>
      <c r="G317" s="50">
        <f t="shared" ca="1" si="349"/>
        <v>0</v>
      </c>
      <c r="H317" s="51" t="str">
        <f t="shared" si="350"/>
        <v/>
      </c>
      <c r="I317" s="171"/>
      <c r="J317" s="171"/>
      <c r="K317" s="172"/>
      <c r="L317" s="172"/>
      <c r="M317" s="171"/>
      <c r="N317" s="173"/>
      <c r="O317" s="173"/>
      <c r="P317" s="174"/>
      <c r="Q317" s="175"/>
      <c r="R317" s="78"/>
      <c r="S317" s="59">
        <f t="shared" si="320"/>
        <v>0</v>
      </c>
      <c r="T317" s="176"/>
      <c r="U317" s="176">
        <v>0</v>
      </c>
      <c r="V317" s="61">
        <f t="shared" si="321"/>
        <v>0</v>
      </c>
      <c r="W317" s="62">
        <f>IF(RL&gt;0,IF(RL&gt;'Look Ups'!R$7,'Look Ups'!R$8,('Look Ups'!R$3*RL^3+'Look Ups'!R$4*RL^2+'Look Ups'!R$5*RL+'Look Ups'!R$6)),0)</f>
        <v>0</v>
      </c>
      <c r="X317" s="177"/>
      <c r="Y317" s="178"/>
      <c r="Z317" s="178"/>
      <c r="AA317" s="178"/>
      <c r="AB317" s="65">
        <f t="shared" si="322"/>
        <v>0</v>
      </c>
      <c r="AC317" s="66">
        <f t="shared" si="323"/>
        <v>0</v>
      </c>
      <c r="AD317" s="179"/>
      <c r="AE317" s="180"/>
      <c r="AF317" s="181"/>
      <c r="AG317" s="70">
        <f>IF(C317="",0,VLOOKUP(AD317,'Look Ups'!$B$3:$C$6,2,0)*VLOOKUP(AE317,'Look Ups'!$E$3:$F$5,2,0)*VLOOKUP(AF317,'Look Ups'!$H$3:$I$7,2,0))</f>
        <v>0</v>
      </c>
      <c r="AH317" s="80"/>
      <c r="AI317" s="77"/>
      <c r="AJ317" s="77"/>
      <c r="AK317" s="77"/>
      <c r="AL317" s="77"/>
      <c r="AM317" s="77"/>
      <c r="AN317" s="77"/>
      <c r="AO317" s="77"/>
      <c r="AP317" s="77"/>
      <c r="AQ317" s="77"/>
      <c r="AR317" s="77"/>
      <c r="AS317" s="87"/>
      <c r="AT317" s="59">
        <f t="shared" si="324"/>
        <v>0</v>
      </c>
      <c r="AU317" s="59">
        <f t="shared" si="325"/>
        <v>0</v>
      </c>
      <c r="AV317" s="72">
        <f>IF(C317="",0,(0.5*(_ML1*LPM)+0.5*(_ML1*HB)+0.66*(P*PR)+0.66*(_ML2*RDM)+0.66*(E*ER))*VLOOKUP(BATT,'Look Ups'!$N$3:$O$4,2,0))</f>
        <v>0</v>
      </c>
      <c r="AW317" s="182"/>
      <c r="AX317" s="183"/>
      <c r="AY317" s="80"/>
      <c r="AZ317" s="77"/>
      <c r="BA317" s="77"/>
      <c r="BB317" s="77"/>
      <c r="BC317" s="77"/>
      <c r="BD317" s="77"/>
      <c r="BE317" s="77"/>
      <c r="BF317" s="77"/>
      <c r="BG317" s="77"/>
      <c r="BH317" s="87"/>
      <c r="BI317" s="72">
        <f t="shared" si="326"/>
        <v>0</v>
      </c>
      <c r="BJ317" s="76"/>
      <c r="BK317" s="77"/>
      <c r="BL317" s="78"/>
      <c r="BM317" s="78"/>
      <c r="BN317" s="77"/>
      <c r="BO317" s="78"/>
      <c r="BP317" s="78"/>
      <c r="BQ317" s="79">
        <f t="shared" si="327"/>
        <v>0</v>
      </c>
      <c r="BR317" s="80"/>
      <c r="BS317" s="77"/>
      <c r="BT317" s="77"/>
      <c r="BU317" s="77"/>
      <c r="BV317" s="77"/>
      <c r="BW317" s="77"/>
      <c r="BX317" s="77"/>
      <c r="BY317" s="72">
        <f t="shared" si="328"/>
        <v>0</v>
      </c>
      <c r="BZ317" s="182"/>
      <c r="CA317" s="77"/>
      <c r="CB317" s="77"/>
      <c r="CC317" s="77"/>
      <c r="CD317" s="65" t="str">
        <f t="shared" si="329"/>
        <v/>
      </c>
      <c r="CE317" s="77">
        <v>0</v>
      </c>
      <c r="CF317" s="79">
        <f t="shared" si="330"/>
        <v>0</v>
      </c>
      <c r="CG317" s="80"/>
      <c r="CH317" s="77"/>
      <c r="CI317" s="77"/>
      <c r="CJ317" s="77"/>
      <c r="CK317" s="59" t="str">
        <f>IF(CG317&gt;0,CJ317/CG317*100,"")</f>
        <v/>
      </c>
      <c r="CL317" s="77">
        <v>0</v>
      </c>
      <c r="CM317" s="72">
        <f t="shared" si="331"/>
        <v>0</v>
      </c>
      <c r="CN317" s="81">
        <f t="shared" si="332"/>
        <v>0</v>
      </c>
      <c r="CO317" s="59">
        <f t="shared" si="333"/>
        <v>0</v>
      </c>
      <c r="CP317" s="59">
        <f t="shared" si="334"/>
        <v>0</v>
      </c>
      <c r="CQ317" s="59">
        <f t="shared" si="335"/>
        <v>0</v>
      </c>
      <c r="CR317" s="59">
        <f>IF(AV317&gt;0,'Look Ups'!$L$3,0)</f>
        <v>0</v>
      </c>
      <c r="CS317" s="59">
        <f t="shared" si="336"/>
        <v>0</v>
      </c>
      <c r="CT317" s="59">
        <f t="shared" si="346"/>
        <v>0</v>
      </c>
      <c r="CU317" s="59">
        <f t="shared" si="347"/>
        <v>0</v>
      </c>
      <c r="CV317" s="79">
        <f t="shared" si="348"/>
        <v>0</v>
      </c>
      <c r="CW317" s="82" t="str">
        <f t="shared" si="337"/>
        <v>-</v>
      </c>
      <c r="CX317" s="65" t="str">
        <f t="shared" si="338"/>
        <v>-</v>
      </c>
      <c r="CY317" s="66" t="str">
        <f t="shared" si="351"/>
        <v/>
      </c>
      <c r="CZ317" s="81">
        <f t="shared" si="339"/>
        <v>0</v>
      </c>
      <c r="DA317" s="59">
        <f t="shared" si="340"/>
        <v>0</v>
      </c>
      <c r="DB317" s="59">
        <f t="shared" si="341"/>
        <v>0</v>
      </c>
      <c r="DC317" s="59">
        <f t="shared" si="342"/>
        <v>0</v>
      </c>
      <c r="DD317" s="59">
        <f t="shared" si="343"/>
        <v>0</v>
      </c>
      <c r="DE317" s="79">
        <f t="shared" si="344"/>
        <v>0</v>
      </c>
      <c r="DF317" s="83">
        <f t="shared" si="319"/>
        <v>0</v>
      </c>
    </row>
    <row r="318" spans="2:110" ht="16.5" customHeight="1" x14ac:dyDescent="0.25">
      <c r="B318" s="47"/>
      <c r="C318" s="47"/>
      <c r="D318" s="48"/>
      <c r="E318" s="49"/>
      <c r="F318" s="50">
        <f t="shared" si="315"/>
        <v>0</v>
      </c>
      <c r="G318" s="50">
        <f t="shared" ca="1" si="349"/>
        <v>0</v>
      </c>
      <c r="H318" s="51" t="str">
        <f t="shared" si="350"/>
        <v/>
      </c>
      <c r="I318" s="52"/>
      <c r="J318" s="52"/>
      <c r="K318" s="208"/>
      <c r="L318" s="53"/>
      <c r="M318" s="54"/>
      <c r="N318" s="55"/>
      <c r="O318" s="55"/>
      <c r="P318" s="56"/>
      <c r="Q318" s="57"/>
      <c r="R318" s="58"/>
      <c r="S318" s="59">
        <f t="shared" si="320"/>
        <v>0</v>
      </c>
      <c r="T318" s="60"/>
      <c r="U318" s="60">
        <v>0</v>
      </c>
      <c r="V318" s="61">
        <f t="shared" si="321"/>
        <v>0</v>
      </c>
      <c r="W318" s="62">
        <f>IF(RL&gt;0,IF(RL&gt;'Look Ups'!R$7,'Look Ups'!R$8,('Look Ups'!R$3*RL^3+'Look Ups'!R$4*RL^2+'Look Ups'!R$5*RL+'Look Ups'!R$6)),0)</f>
        <v>0</v>
      </c>
      <c r="X318" s="63"/>
      <c r="Y318" s="206"/>
      <c r="Z318" s="64"/>
      <c r="AA318" s="64"/>
      <c r="AB318" s="65">
        <f t="shared" si="322"/>
        <v>0</v>
      </c>
      <c r="AC318" s="66">
        <f t="shared" si="323"/>
        <v>0</v>
      </c>
      <c r="AD318" s="67"/>
      <c r="AE318" s="68"/>
      <c r="AF318" s="69"/>
      <c r="AG318" s="70">
        <f>IF(C318="",0,VLOOKUP(AD318,'Look Ups'!$B$3:$C$6,2,0)*VLOOKUP(AE318,'Look Ups'!$E$3:$F$5,2,0)*VLOOKUP(AF318,'Look Ups'!$H$3:$I$7,2,0))</f>
        <v>0</v>
      </c>
      <c r="AH318" s="71"/>
      <c r="AI318" s="60"/>
      <c r="AJ318" s="60"/>
      <c r="AK318" s="60"/>
      <c r="AL318" s="60"/>
      <c r="AM318" s="60"/>
      <c r="AN318" s="60"/>
      <c r="AO318" s="60"/>
      <c r="AP318" s="60"/>
      <c r="AQ318" s="60"/>
      <c r="AR318" s="60"/>
      <c r="AS318" s="75"/>
      <c r="AT318" s="59">
        <f t="shared" si="324"/>
        <v>0</v>
      </c>
      <c r="AU318" s="59">
        <f t="shared" si="325"/>
        <v>0</v>
      </c>
      <c r="AV318" s="72">
        <f>IF(C318="",0,(0.5*(_ML1*LPM)+0.5*(_ML1*HB)+0.66*(P*PR)+0.66*(_ML2*RDM)+0.66*(E*ER))*VLOOKUP(BATT,'Look Ups'!$N$3:$O$4,2,0))</f>
        <v>0</v>
      </c>
      <c r="AW318" s="73"/>
      <c r="AX318" s="74"/>
      <c r="AY318" s="71"/>
      <c r="AZ318" s="60"/>
      <c r="BA318" s="60"/>
      <c r="BB318" s="60"/>
      <c r="BC318" s="60"/>
      <c r="BD318" s="60"/>
      <c r="BE318" s="60"/>
      <c r="BF318" s="60"/>
      <c r="BG318" s="60"/>
      <c r="BH318" s="75"/>
      <c r="BI318" s="72">
        <f t="shared" si="326"/>
        <v>0</v>
      </c>
      <c r="BJ318" s="76"/>
      <c r="BK318" s="77"/>
      <c r="BL318" s="78"/>
      <c r="BM318" s="78"/>
      <c r="BN318" s="77"/>
      <c r="BO318" s="78"/>
      <c r="BP318" s="78"/>
      <c r="BQ318" s="79">
        <f t="shared" si="327"/>
        <v>0</v>
      </c>
      <c r="BR318" s="80"/>
      <c r="BS318" s="77"/>
      <c r="BT318" s="77"/>
      <c r="BU318" s="77"/>
      <c r="BV318" s="77"/>
      <c r="BW318" s="77"/>
      <c r="BX318" s="77"/>
      <c r="BY318" s="72">
        <f t="shared" si="328"/>
        <v>0</v>
      </c>
      <c r="BZ318" s="73"/>
      <c r="CA318" s="60"/>
      <c r="CB318" s="60"/>
      <c r="CC318" s="60"/>
      <c r="CD318" s="65" t="str">
        <f t="shared" si="329"/>
        <v/>
      </c>
      <c r="CE318" s="60">
        <v>0</v>
      </c>
      <c r="CF318" s="79">
        <f t="shared" si="330"/>
        <v>0</v>
      </c>
      <c r="CG318" s="71"/>
      <c r="CH318" s="60"/>
      <c r="CI318" s="60"/>
      <c r="CJ318" s="60"/>
      <c r="CK318" s="59" t="str">
        <f t="shared" si="345"/>
        <v/>
      </c>
      <c r="CL318" s="60">
        <v>0</v>
      </c>
      <c r="CM318" s="72">
        <f t="shared" si="331"/>
        <v>0</v>
      </c>
      <c r="CN318" s="81">
        <f t="shared" si="332"/>
        <v>0</v>
      </c>
      <c r="CO318" s="59">
        <f t="shared" si="333"/>
        <v>0</v>
      </c>
      <c r="CP318" s="59">
        <f t="shared" si="334"/>
        <v>0</v>
      </c>
      <c r="CQ318" s="59">
        <f t="shared" si="335"/>
        <v>0</v>
      </c>
      <c r="CR318" s="59">
        <f>IF(AV318&gt;0,'Look Ups'!$L$3,0)</f>
        <v>0</v>
      </c>
      <c r="CS318" s="59">
        <f t="shared" si="336"/>
        <v>0</v>
      </c>
      <c r="CT318" s="59">
        <f t="shared" si="346"/>
        <v>0</v>
      </c>
      <c r="CU318" s="59">
        <f t="shared" si="347"/>
        <v>0</v>
      </c>
      <c r="CV318" s="79">
        <f t="shared" si="348"/>
        <v>0</v>
      </c>
      <c r="CW318" s="82" t="str">
        <f t="shared" si="337"/>
        <v>-</v>
      </c>
      <c r="CX318" s="65" t="str">
        <f t="shared" si="338"/>
        <v>-</v>
      </c>
      <c r="CY318" s="66" t="str">
        <f t="shared" si="351"/>
        <v/>
      </c>
      <c r="CZ318" s="81">
        <f t="shared" si="339"/>
        <v>0</v>
      </c>
      <c r="DA318" s="59">
        <f t="shared" si="340"/>
        <v>0</v>
      </c>
      <c r="DB318" s="59">
        <f t="shared" si="341"/>
        <v>0</v>
      </c>
      <c r="DC318" s="59">
        <f t="shared" si="342"/>
        <v>0</v>
      </c>
      <c r="DD318" s="59">
        <f t="shared" si="343"/>
        <v>0</v>
      </c>
      <c r="DE318" s="79">
        <f t="shared" si="344"/>
        <v>0</v>
      </c>
      <c r="DF318" s="83">
        <f t="shared" si="319"/>
        <v>0</v>
      </c>
    </row>
    <row r="319" spans="2:110" ht="15.5" x14ac:dyDescent="0.25">
      <c r="B319" s="47"/>
    </row>
    <row r="320" spans="2:11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sheetData>
  <sheetProtection insertRows="0" deleteRows="0" sort="0" autoFilter="0"/>
  <sortState xmlns:xlrd2="http://schemas.microsoft.com/office/spreadsheetml/2017/richdata2" ref="B5:DF131">
    <sortCondition ref="C5:C131"/>
  </sortState>
  <mergeCells count="15">
    <mergeCell ref="CW3:CY3"/>
    <mergeCell ref="CZ3:DE3"/>
    <mergeCell ref="CN3:CV3"/>
    <mergeCell ref="C135:E135"/>
    <mergeCell ref="AY3:BI3"/>
    <mergeCell ref="BJ3:BQ3"/>
    <mergeCell ref="BR3:BY3"/>
    <mergeCell ref="BZ3:CF3"/>
    <mergeCell ref="CG3:CM3"/>
    <mergeCell ref="B2:D3"/>
    <mergeCell ref="Q3:V3"/>
    <mergeCell ref="X3:AC3"/>
    <mergeCell ref="AD3:AG3"/>
    <mergeCell ref="AH3:AV3"/>
    <mergeCell ref="AW3:AX3"/>
  </mergeCells>
  <phoneticPr fontId="16" type="noConversion"/>
  <conditionalFormatting sqref="E62">
    <cfRule type="expression" priority="244" stopIfTrue="1">
      <formula>NA()</formula>
    </cfRule>
  </conditionalFormatting>
  <conditionalFormatting sqref="J154">
    <cfRule type="cellIs" dxfId="79" priority="202" operator="lessThan">
      <formula>1</formula>
    </cfRule>
    <cfRule type="cellIs" dxfId="78" priority="203" operator="lessThan">
      <formula>TODAY()-2190</formula>
    </cfRule>
    <cfRule type="cellIs" dxfId="77" priority="204" operator="lessThan">
      <formula>TODAY()-1460</formula>
    </cfRule>
  </conditionalFormatting>
  <conditionalFormatting sqref="J155">
    <cfRule type="cellIs" dxfId="76" priority="175" operator="lessThan">
      <formula>1</formula>
    </cfRule>
    <cfRule type="cellIs" dxfId="75" priority="176" operator="lessThan">
      <formula>TODAY()-2190</formula>
    </cfRule>
    <cfRule type="cellIs" dxfId="74" priority="177" operator="lessThan">
      <formula>TODAY()-1460</formula>
    </cfRule>
  </conditionalFormatting>
  <conditionalFormatting sqref="CW6:CX10 CW42:CX42 CW20:CX28 CW44:CX47 CW126:CX131 CW273:CX316 CW93:CX124 CW49:CX66 CW17:CX18 CW136:CX186 CW188:CX271 CW12:CX14 CW31:CX40 CW68:CX91">
    <cfRule type="cellIs" dxfId="73" priority="110" stopIfTrue="1" operator="equal">
      <formula>"na()"</formula>
    </cfRule>
    <cfRule type="cellIs" dxfId="72" priority="111" stopIfTrue="1" operator="equal">
      <formula>"ERROR"</formula>
    </cfRule>
  </conditionalFormatting>
  <conditionalFormatting sqref="F6:G10 F42:G42 F44:G47 F126:G131 F273:G316 F93:G124 F49:G66 F17:G18 F20:G28 F29 F136:G186 F188:G271 F12:G14 F31:G40 F68:G91">
    <cfRule type="expression" dxfId="71" priority="108" stopIfTrue="1">
      <formula>$G6="No"</formula>
    </cfRule>
  </conditionalFormatting>
  <conditionalFormatting sqref="F318:G318">
    <cfRule type="expression" dxfId="70" priority="88" stopIfTrue="1">
      <formula>$G318="No"</formula>
    </cfRule>
  </conditionalFormatting>
  <conditionalFormatting sqref="CW318:CX318">
    <cfRule type="cellIs" dxfId="69" priority="89" stopIfTrue="1" operator="equal">
      <formula>"na()"</formula>
    </cfRule>
    <cfRule type="cellIs" dxfId="68" priority="90" stopIfTrue="1" operator="equal">
      <formula>"ERROR"</formula>
    </cfRule>
  </conditionalFormatting>
  <conditionalFormatting sqref="CW317:CX317">
    <cfRule type="cellIs" dxfId="67" priority="84" stopIfTrue="1" operator="equal">
      <formula>"na()"</formula>
    </cfRule>
    <cfRule type="cellIs" dxfId="66" priority="85" stopIfTrue="1" operator="equal">
      <formula>"ERROR"</formula>
    </cfRule>
  </conditionalFormatting>
  <conditionalFormatting sqref="F317:G317">
    <cfRule type="expression" dxfId="65" priority="83" stopIfTrue="1">
      <formula>$G317="No"</formula>
    </cfRule>
  </conditionalFormatting>
  <conditionalFormatting sqref="I6:I10 I42 I20:I29 I44:I47 I126:I131 I273:I318 I93:I124 I49:I66 I17:I18 I136:I186 I188:I271 I12:I14 I31:I40 I68:I91">
    <cfRule type="cellIs" priority="82" stopIfTrue="1" operator="equal">
      <formula>""</formula>
    </cfRule>
    <cfRule type="cellIs" dxfId="64" priority="114" operator="lessThan">
      <formula>TODAY()-3650</formula>
    </cfRule>
    <cfRule type="cellIs" dxfId="63" priority="116" operator="lessThan">
      <formula>TODAY()-2920</formula>
    </cfRule>
  </conditionalFormatting>
  <conditionalFormatting sqref="CW67:CX67">
    <cfRule type="cellIs" dxfId="62" priority="78" stopIfTrue="1" operator="equal">
      <formula>"na()"</formula>
    </cfRule>
    <cfRule type="cellIs" dxfId="61" priority="79" stopIfTrue="1" operator="equal">
      <formula>"ERROR"</formula>
    </cfRule>
  </conditionalFormatting>
  <conditionalFormatting sqref="F67:G67">
    <cfRule type="expression" dxfId="60" priority="77" stopIfTrue="1">
      <formula>$G67="No"</formula>
    </cfRule>
  </conditionalFormatting>
  <conditionalFormatting sqref="I67">
    <cfRule type="cellIs" priority="76" stopIfTrue="1" operator="equal">
      <formula>""</formula>
    </cfRule>
    <cfRule type="cellIs" dxfId="59" priority="80" operator="lessThan">
      <formula>TODAY()-3650</formula>
    </cfRule>
    <cfRule type="cellIs" dxfId="58" priority="81" operator="lessThan">
      <formula>TODAY()-2920</formula>
    </cfRule>
  </conditionalFormatting>
  <conditionalFormatting sqref="CW5:CX5">
    <cfRule type="cellIs" dxfId="57" priority="72" stopIfTrue="1" operator="equal">
      <formula>"na()"</formula>
    </cfRule>
    <cfRule type="cellIs" dxfId="56" priority="73" stopIfTrue="1" operator="equal">
      <formula>"ERROR"</formula>
    </cfRule>
  </conditionalFormatting>
  <conditionalFormatting sqref="F5:G5">
    <cfRule type="expression" dxfId="55" priority="71" stopIfTrue="1">
      <formula>$G5="No"</formula>
    </cfRule>
  </conditionalFormatting>
  <conditionalFormatting sqref="I5">
    <cfRule type="cellIs" priority="70" stopIfTrue="1" operator="equal">
      <formula>""</formula>
    </cfRule>
    <cfRule type="cellIs" dxfId="54" priority="74" operator="lessThan">
      <formula>TODAY()-3650</formula>
    </cfRule>
    <cfRule type="cellIs" dxfId="53" priority="75" operator="lessThan">
      <formula>TODAY()-2920</formula>
    </cfRule>
  </conditionalFormatting>
  <conditionalFormatting sqref="CW41:CX41">
    <cfRule type="cellIs" dxfId="52" priority="66" stopIfTrue="1" operator="equal">
      <formula>"na()"</formula>
    </cfRule>
    <cfRule type="cellIs" dxfId="51" priority="67" stopIfTrue="1" operator="equal">
      <formula>"ERROR"</formula>
    </cfRule>
  </conditionalFormatting>
  <conditionalFormatting sqref="F41:G41">
    <cfRule type="expression" dxfId="50" priority="65" stopIfTrue="1">
      <formula>$G41="No"</formula>
    </cfRule>
  </conditionalFormatting>
  <conditionalFormatting sqref="I41">
    <cfRule type="cellIs" priority="64" stopIfTrue="1" operator="equal">
      <formula>""</formula>
    </cfRule>
    <cfRule type="cellIs" dxfId="49" priority="68" operator="lessThan">
      <formula>TODAY()-3650</formula>
    </cfRule>
    <cfRule type="cellIs" dxfId="48" priority="69" operator="lessThan">
      <formula>TODAY()-2920</formula>
    </cfRule>
  </conditionalFormatting>
  <conditionalFormatting sqref="CW92:CX92">
    <cfRule type="cellIs" dxfId="47" priority="60" stopIfTrue="1" operator="equal">
      <formula>"na()"</formula>
    </cfRule>
    <cfRule type="cellIs" dxfId="46" priority="61" stopIfTrue="1" operator="equal">
      <formula>"ERROR"</formula>
    </cfRule>
  </conditionalFormatting>
  <conditionalFormatting sqref="F92:G92">
    <cfRule type="expression" dxfId="45" priority="59" stopIfTrue="1">
      <formula>$G92="No"</formula>
    </cfRule>
  </conditionalFormatting>
  <conditionalFormatting sqref="I92">
    <cfRule type="cellIs" priority="58" stopIfTrue="1" operator="equal">
      <formula>""</formula>
    </cfRule>
    <cfRule type="cellIs" dxfId="44" priority="62" operator="lessThan">
      <formula>TODAY()-3650</formula>
    </cfRule>
    <cfRule type="cellIs" dxfId="43" priority="63" operator="lessThan">
      <formula>TODAY()-2920</formula>
    </cfRule>
  </conditionalFormatting>
  <conditionalFormatting sqref="CW19:CX19">
    <cfRule type="cellIs" dxfId="42" priority="54" stopIfTrue="1" operator="equal">
      <formula>"na()"</formula>
    </cfRule>
    <cfRule type="cellIs" dxfId="41" priority="55" stopIfTrue="1" operator="equal">
      <formula>"ERROR"</formula>
    </cfRule>
  </conditionalFormatting>
  <conditionalFormatting sqref="F19:G19">
    <cfRule type="expression" dxfId="40" priority="53" stopIfTrue="1">
      <formula>$G19="No"</formula>
    </cfRule>
  </conditionalFormatting>
  <conditionalFormatting sqref="I19">
    <cfRule type="cellIs" priority="52" stopIfTrue="1" operator="equal">
      <formula>""</formula>
    </cfRule>
    <cfRule type="cellIs" dxfId="39" priority="56" operator="lessThan">
      <formula>TODAY()-3650</formula>
    </cfRule>
    <cfRule type="cellIs" dxfId="38" priority="57" operator="lessThan">
      <formula>TODAY()-2920</formula>
    </cfRule>
  </conditionalFormatting>
  <conditionalFormatting sqref="CW43:CX43">
    <cfRule type="cellIs" dxfId="37" priority="48" stopIfTrue="1" operator="equal">
      <formula>"na()"</formula>
    </cfRule>
    <cfRule type="cellIs" dxfId="36" priority="49" stopIfTrue="1" operator="equal">
      <formula>"ERROR"</formula>
    </cfRule>
  </conditionalFormatting>
  <conditionalFormatting sqref="F43:G43">
    <cfRule type="expression" dxfId="35" priority="47" stopIfTrue="1">
      <formula>$G43="No"</formula>
    </cfRule>
  </conditionalFormatting>
  <conditionalFormatting sqref="I43">
    <cfRule type="cellIs" priority="46" stopIfTrue="1" operator="equal">
      <formula>""</formula>
    </cfRule>
    <cfRule type="cellIs" dxfId="34" priority="50" operator="lessThan">
      <formula>TODAY()-3650</formula>
    </cfRule>
    <cfRule type="cellIs" dxfId="33" priority="51" operator="lessThan">
      <formula>TODAY()-2920</formula>
    </cfRule>
  </conditionalFormatting>
  <conditionalFormatting sqref="CW125:CX125">
    <cfRule type="cellIs" dxfId="32" priority="42" stopIfTrue="1" operator="equal">
      <formula>"na()"</formula>
    </cfRule>
    <cfRule type="cellIs" dxfId="31" priority="43" stopIfTrue="1" operator="equal">
      <formula>"ERROR"</formula>
    </cfRule>
  </conditionalFormatting>
  <conditionalFormatting sqref="F125:G125">
    <cfRule type="expression" dxfId="30" priority="41" stopIfTrue="1">
      <formula>$G125="No"</formula>
    </cfRule>
  </conditionalFormatting>
  <conditionalFormatting sqref="I125">
    <cfRule type="cellIs" priority="40" stopIfTrue="1" operator="equal">
      <formula>""</formula>
    </cfRule>
    <cfRule type="cellIs" dxfId="29" priority="44" operator="lessThan">
      <formula>TODAY()-3650</formula>
    </cfRule>
    <cfRule type="cellIs" dxfId="28" priority="45" operator="lessThan">
      <formula>TODAY()-2920</formula>
    </cfRule>
  </conditionalFormatting>
  <conditionalFormatting sqref="CW48:CX48">
    <cfRule type="cellIs" dxfId="27" priority="30" stopIfTrue="1" operator="equal">
      <formula>"na()"</formula>
    </cfRule>
    <cfRule type="cellIs" dxfId="26" priority="31" stopIfTrue="1" operator="equal">
      <formula>"ERROR"</formula>
    </cfRule>
  </conditionalFormatting>
  <conditionalFormatting sqref="F48:G48">
    <cfRule type="expression" dxfId="25" priority="29" stopIfTrue="1">
      <formula>$G48="No"</formula>
    </cfRule>
  </conditionalFormatting>
  <conditionalFormatting sqref="I48">
    <cfRule type="cellIs" priority="28" stopIfTrue="1" operator="equal">
      <formula>""</formula>
    </cfRule>
    <cfRule type="cellIs" dxfId="24" priority="32" operator="lessThan">
      <formula>TODAY()-3650</formula>
    </cfRule>
    <cfRule type="cellIs" dxfId="23" priority="33" operator="lessThan">
      <formula>TODAY()-2920</formula>
    </cfRule>
  </conditionalFormatting>
  <conditionalFormatting sqref="CW16:CX16">
    <cfRule type="cellIs" dxfId="22" priority="24" stopIfTrue="1" operator="equal">
      <formula>"na()"</formula>
    </cfRule>
    <cfRule type="cellIs" dxfId="21" priority="25" stopIfTrue="1" operator="equal">
      <formula>"ERROR"</formula>
    </cfRule>
  </conditionalFormatting>
  <conditionalFormatting sqref="F16:G16">
    <cfRule type="expression" dxfId="20" priority="23" stopIfTrue="1">
      <formula>$G16="No"</formula>
    </cfRule>
  </conditionalFormatting>
  <conditionalFormatting sqref="I16">
    <cfRule type="cellIs" priority="22" stopIfTrue="1" operator="equal">
      <formula>""</formula>
    </cfRule>
    <cfRule type="cellIs" dxfId="19" priority="26" operator="lessThan">
      <formula>TODAY()-3650</formula>
    </cfRule>
    <cfRule type="cellIs" dxfId="18" priority="27" operator="lessThan">
      <formula>TODAY()-2920</formula>
    </cfRule>
  </conditionalFormatting>
  <conditionalFormatting sqref="CW29:CX29">
    <cfRule type="cellIs" dxfId="17" priority="20" stopIfTrue="1" operator="equal">
      <formula>"na()"</formula>
    </cfRule>
    <cfRule type="cellIs" dxfId="16" priority="21" stopIfTrue="1" operator="equal">
      <formula>"ERROR"</formula>
    </cfRule>
  </conditionalFormatting>
  <conditionalFormatting sqref="G29">
    <cfRule type="expression" dxfId="15" priority="19" stopIfTrue="1">
      <formula>$G29="No"</formula>
    </cfRule>
  </conditionalFormatting>
  <conditionalFormatting sqref="CW30:CX30">
    <cfRule type="cellIs" dxfId="14" priority="15" stopIfTrue="1" operator="equal">
      <formula>"na()"</formula>
    </cfRule>
    <cfRule type="cellIs" dxfId="13" priority="16" stopIfTrue="1" operator="equal">
      <formula>"ERROR"</formula>
    </cfRule>
  </conditionalFormatting>
  <conditionalFormatting sqref="F30:G30">
    <cfRule type="expression" dxfId="12" priority="14" stopIfTrue="1">
      <formula>$G30="No"</formula>
    </cfRule>
  </conditionalFormatting>
  <conditionalFormatting sqref="I30">
    <cfRule type="cellIs" priority="13" stopIfTrue="1" operator="equal">
      <formula>""</formula>
    </cfRule>
    <cfRule type="cellIs" dxfId="11" priority="17" operator="lessThan">
      <formula>TODAY()-3650</formula>
    </cfRule>
    <cfRule type="cellIs" dxfId="10" priority="18" operator="lessThan">
      <formula>TODAY()-2920</formula>
    </cfRule>
  </conditionalFormatting>
  <conditionalFormatting sqref="CW15:CX15">
    <cfRule type="cellIs" dxfId="9" priority="9" stopIfTrue="1" operator="equal">
      <formula>"na()"</formula>
    </cfRule>
    <cfRule type="cellIs" dxfId="8" priority="10" stopIfTrue="1" operator="equal">
      <formula>"ERROR"</formula>
    </cfRule>
  </conditionalFormatting>
  <conditionalFormatting sqref="F15:G15">
    <cfRule type="expression" dxfId="7" priority="8" stopIfTrue="1">
      <formula>$G15="No"</formula>
    </cfRule>
  </conditionalFormatting>
  <conditionalFormatting sqref="I15">
    <cfRule type="cellIs" priority="7" stopIfTrue="1" operator="equal">
      <formula>""</formula>
    </cfRule>
    <cfRule type="cellIs" dxfId="6" priority="11" operator="lessThan">
      <formula>TODAY()-3650</formula>
    </cfRule>
    <cfRule type="cellIs" dxfId="5" priority="12" operator="lessThan">
      <formula>TODAY()-2920</formula>
    </cfRule>
  </conditionalFormatting>
  <conditionalFormatting sqref="CW11:CX11">
    <cfRule type="cellIs" dxfId="4" priority="3" stopIfTrue="1" operator="equal">
      <formula>"na()"</formula>
    </cfRule>
    <cfRule type="cellIs" dxfId="3" priority="4" stopIfTrue="1" operator="equal">
      <formula>"ERROR"</formula>
    </cfRule>
  </conditionalFormatting>
  <conditionalFormatting sqref="F11:G11">
    <cfRule type="expression" dxfId="2" priority="2" stopIfTrue="1">
      <formula>$G11="No"</formula>
    </cfRule>
  </conditionalFormatting>
  <conditionalFormatting sqref="I11">
    <cfRule type="cellIs" priority="1" stopIfTrue="1" operator="equal">
      <formula>""</formula>
    </cfRule>
    <cfRule type="cellIs" dxfId="1" priority="5" operator="lessThan">
      <formula>TODAY()-3650</formula>
    </cfRule>
    <cfRule type="cellIs" dxfId="0" priority="6" operator="lessThan">
      <formula>TODAY()-2920</formula>
    </cfRule>
  </conditionalFormatting>
  <pageMargins left="0.75" right="0.75" top="1" bottom="1" header="0.51180555555555551" footer="0.51180555555555551"/>
  <pageSetup paperSize="9" scale="10" firstPageNumber="0" fitToHeight="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8"/>
  <sheetViews>
    <sheetView showZeros="0" topLeftCell="H1" zoomScale="114" zoomScaleNormal="114" workbookViewId="0">
      <selection activeCell="E27" sqref="E27"/>
    </sheetView>
  </sheetViews>
  <sheetFormatPr defaultColWidth="12.08984375" defaultRowHeight="13.5" x14ac:dyDescent="0.3"/>
  <cols>
    <col min="1" max="1" width="1.453125" style="187" customWidth="1"/>
    <col min="2" max="2" width="38.453125" style="187" customWidth="1"/>
    <col min="3" max="3" width="12.08984375" style="187"/>
    <col min="4" max="4" width="1.453125" style="187" customWidth="1"/>
    <col min="5" max="5" width="38.453125" style="187" customWidth="1"/>
    <col min="6" max="6" width="12.08984375" style="187"/>
    <col min="7" max="7" width="1.453125" style="187" customWidth="1"/>
    <col min="8" max="8" width="34.453125" style="187" customWidth="1"/>
    <col min="9" max="9" width="12.08984375" style="187"/>
    <col min="10" max="10" width="1.453125" style="187" customWidth="1"/>
    <col min="11" max="11" width="20.08984375" style="187" customWidth="1"/>
    <col min="12" max="12" width="12.08984375" style="187"/>
    <col min="13" max="13" width="1.453125" style="187" customWidth="1"/>
    <col min="14" max="14" width="14" style="187" customWidth="1"/>
    <col min="15" max="15" width="12.08984375" style="187"/>
    <col min="16" max="16" width="1.453125" style="187" customWidth="1"/>
    <col min="17" max="17" width="23.08984375" style="187" customWidth="1"/>
    <col min="18" max="18" width="16" style="187" customWidth="1"/>
    <col min="19" max="16384" width="12.08984375" style="187"/>
  </cols>
  <sheetData>
    <row r="1" spans="2:18" ht="6" customHeight="1" x14ac:dyDescent="0.3"/>
    <row r="2" spans="2:18" ht="12.75" customHeight="1" x14ac:dyDescent="0.3">
      <c r="B2" s="455" t="s">
        <v>826</v>
      </c>
      <c r="C2" s="455"/>
      <c r="E2" s="455" t="s">
        <v>827</v>
      </c>
      <c r="F2" s="455"/>
      <c r="H2" s="455" t="s">
        <v>828</v>
      </c>
      <c r="I2" s="455"/>
      <c r="K2" s="455" t="s">
        <v>829</v>
      </c>
      <c r="L2" s="455"/>
      <c r="N2" s="455" t="s">
        <v>830</v>
      </c>
      <c r="O2" s="455"/>
      <c r="Q2" s="455" t="s">
        <v>831</v>
      </c>
      <c r="R2" s="455"/>
    </row>
    <row r="3" spans="2:18" x14ac:dyDescent="0.3">
      <c r="B3" s="188" t="s">
        <v>129</v>
      </c>
      <c r="C3" s="189">
        <v>1</v>
      </c>
      <c r="D3" s="190"/>
      <c r="E3" s="188" t="s">
        <v>130</v>
      </c>
      <c r="F3" s="189">
        <v>1</v>
      </c>
      <c r="G3" s="190"/>
      <c r="H3" s="188" t="s">
        <v>131</v>
      </c>
      <c r="I3" s="191">
        <v>1</v>
      </c>
      <c r="K3" s="192" t="s">
        <v>832</v>
      </c>
      <c r="L3" s="193">
        <v>1</v>
      </c>
      <c r="N3" s="188" t="s">
        <v>132</v>
      </c>
      <c r="O3" s="189">
        <v>1</v>
      </c>
      <c r="Q3" s="188" t="s">
        <v>833</v>
      </c>
      <c r="R3" s="194">
        <v>3.2999999999999996E-5</v>
      </c>
    </row>
    <row r="4" spans="2:18" x14ac:dyDescent="0.3">
      <c r="B4" s="195" t="s">
        <v>154</v>
      </c>
      <c r="C4" s="196">
        <v>0.99</v>
      </c>
      <c r="D4" s="190"/>
      <c r="E4" s="195" t="s">
        <v>834</v>
      </c>
      <c r="F4" s="196">
        <v>1.01</v>
      </c>
      <c r="G4" s="190"/>
      <c r="H4" s="195" t="s">
        <v>300</v>
      </c>
      <c r="I4" s="197">
        <v>0.995</v>
      </c>
      <c r="N4" s="198" t="s">
        <v>538</v>
      </c>
      <c r="O4" s="199">
        <v>0.94</v>
      </c>
      <c r="Q4" s="195" t="s">
        <v>835</v>
      </c>
      <c r="R4" s="197">
        <v>-1.4E-3</v>
      </c>
    </row>
    <row r="5" spans="2:18" x14ac:dyDescent="0.3">
      <c r="B5" s="195" t="s">
        <v>662</v>
      </c>
      <c r="C5" s="196">
        <v>0.995</v>
      </c>
      <c r="D5" s="190"/>
      <c r="E5" s="200" t="s">
        <v>836</v>
      </c>
      <c r="F5" s="201">
        <v>1.0149999999999999</v>
      </c>
      <c r="G5" s="190"/>
      <c r="H5" s="195" t="s">
        <v>161</v>
      </c>
      <c r="I5" s="197">
        <v>0.99</v>
      </c>
      <c r="Q5" s="195" t="s">
        <v>3</v>
      </c>
      <c r="R5" s="197">
        <v>1.95E-2</v>
      </c>
    </row>
    <row r="6" spans="2:18" ht="14" thickBot="1" x14ac:dyDescent="0.35">
      <c r="B6" s="198" t="s">
        <v>545</v>
      </c>
      <c r="C6" s="199">
        <v>0.98</v>
      </c>
      <c r="D6" s="190"/>
      <c r="E6" s="202"/>
      <c r="F6" s="202"/>
      <c r="G6" s="190"/>
      <c r="H6" s="195" t="s">
        <v>837</v>
      </c>
      <c r="I6" s="197">
        <v>0.97499999999999998</v>
      </c>
      <c r="Q6" s="198" t="s">
        <v>838</v>
      </c>
      <c r="R6" s="203">
        <v>0.21050000000000002</v>
      </c>
    </row>
    <row r="7" spans="2:18" ht="14" thickBot="1" x14ac:dyDescent="0.35">
      <c r="B7" s="190"/>
      <c r="C7" s="190"/>
      <c r="D7" s="190"/>
      <c r="E7" s="190"/>
      <c r="F7" s="190"/>
      <c r="G7" s="190"/>
      <c r="H7" s="198" t="s">
        <v>624</v>
      </c>
      <c r="I7" s="203">
        <v>0.96250000000000002</v>
      </c>
      <c r="Q7" s="198" t="s">
        <v>839</v>
      </c>
      <c r="R7" s="204">
        <v>12</v>
      </c>
    </row>
    <row r="8" spans="2:18" ht="14" thickBot="1" x14ac:dyDescent="0.35">
      <c r="Q8" s="198" t="s">
        <v>840</v>
      </c>
      <c r="R8" s="199">
        <v>0.3</v>
      </c>
    </row>
  </sheetData>
  <sheetProtection password="EC75" sheet="1"/>
  <mergeCells count="6">
    <mergeCell ref="Q2:R2"/>
    <mergeCell ref="B2:C2"/>
    <mergeCell ref="E2:F2"/>
    <mergeCell ref="H2:I2"/>
    <mergeCell ref="K2:L2"/>
    <mergeCell ref="N2:O2"/>
  </mergeCells>
  <pageMargins left="0.75" right="0.75" top="1" bottom="1"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94</vt:i4>
      </vt:variant>
    </vt:vector>
  </HeadingPairs>
  <TitlesOfParts>
    <vt:vector size="96" baseType="lpstr">
      <vt:lpstr>OMR</vt:lpstr>
      <vt:lpstr>Look Ups</vt:lpstr>
      <vt:lpstr>_LG1</vt:lpstr>
      <vt:lpstr>_LG2</vt:lpstr>
      <vt:lpstr>_ML1</vt:lpstr>
      <vt:lpstr>_ML2</vt:lpstr>
      <vt:lpstr>_RL1</vt:lpstr>
      <vt:lpstr>_SL1</vt:lpstr>
      <vt:lpstr>_SL2</vt:lpstr>
      <vt:lpstr>AD</vt:lpstr>
      <vt:lpstr>AG</vt:lpstr>
      <vt:lpstr>AM</vt:lpstr>
      <vt:lpstr>AOC</vt:lpstr>
      <vt:lpstr>AS</vt:lpstr>
      <vt:lpstr>BATT</vt:lpstr>
      <vt:lpstr>BOA</vt:lpstr>
      <vt:lpstr>DLF</vt:lpstr>
      <vt:lpstr>E</vt:lpstr>
      <vt:lpstr>EFD</vt:lpstr>
      <vt:lpstr>EFG</vt:lpstr>
      <vt:lpstr>EFM</vt:lpstr>
      <vt:lpstr>EFS</vt:lpstr>
      <vt:lpstr>ER</vt:lpstr>
      <vt:lpstr>FD</vt:lpstr>
      <vt:lpstr>FG</vt:lpstr>
      <vt:lpstr>FIN</vt:lpstr>
      <vt:lpstr>FLSPI</vt:lpstr>
      <vt:lpstr>FOC</vt:lpstr>
      <vt:lpstr>FOIL</vt:lpstr>
      <vt:lpstr>FRD</vt:lpstr>
      <vt:lpstr>FRG</vt:lpstr>
      <vt:lpstr>FRS</vt:lpstr>
      <vt:lpstr>FS</vt:lpstr>
      <vt:lpstr>HB</vt:lpstr>
      <vt:lpstr>HCE</vt:lpstr>
      <vt:lpstr>HG</vt:lpstr>
      <vt:lpstr>HWL</vt:lpstr>
      <vt:lpstr>LCHD</vt:lpstr>
      <vt:lpstr>LF</vt:lpstr>
      <vt:lpstr>LL</vt:lpstr>
      <vt:lpstr>LLD</vt:lpstr>
      <vt:lpstr>LLRD</vt:lpstr>
      <vt:lpstr>LLRG</vt:lpstr>
      <vt:lpstr>LLRS</vt:lpstr>
      <vt:lpstr>LLS</vt:lpstr>
      <vt:lpstr>LOA</vt:lpstr>
      <vt:lpstr>LOAA</vt:lpstr>
      <vt:lpstr>LPD</vt:lpstr>
      <vt:lpstr>LPG</vt:lpstr>
      <vt:lpstr>LPM</vt:lpstr>
      <vt:lpstr>LPS</vt:lpstr>
      <vt:lpstr>LRD</vt:lpstr>
      <vt:lpstr>LRG</vt:lpstr>
      <vt:lpstr>LRS</vt:lpstr>
      <vt:lpstr>LS</vt:lpstr>
      <vt:lpstr>MAM</vt:lpstr>
      <vt:lpstr>MC</vt:lpstr>
      <vt:lpstr>MSASC</vt:lpstr>
      <vt:lpstr>MSASP</vt:lpstr>
      <vt:lpstr>NC</vt:lpstr>
      <vt:lpstr>OMR</vt:lpstr>
      <vt:lpstr>P</vt:lpstr>
      <vt:lpstr>PCScrMG</vt:lpstr>
      <vt:lpstr>PCSMG</vt:lpstr>
      <vt:lpstr>PR</vt:lpstr>
      <vt:lpstr>PRF</vt:lpstr>
      <vt:lpstr>OMR!Print_Area</vt:lpstr>
      <vt:lpstr>RAMG</vt:lpstr>
      <vt:lpstr>RASCO</vt:lpstr>
      <vt:lpstr>RASCR</vt:lpstr>
      <vt:lpstr>RASPO</vt:lpstr>
      <vt:lpstr>RASPSC</vt:lpstr>
      <vt:lpstr>RDM</vt:lpstr>
      <vt:lpstr>RL</vt:lpstr>
      <vt:lpstr>RSA</vt:lpstr>
      <vt:lpstr>RSA2M</vt:lpstr>
      <vt:lpstr>RSAD</vt:lpstr>
      <vt:lpstr>RSAG</vt:lpstr>
      <vt:lpstr>RSAM</vt:lpstr>
      <vt:lpstr>RSAMG</vt:lpstr>
      <vt:lpstr>RSAMZ</vt:lpstr>
      <vt:lpstr>RSAST</vt:lpstr>
      <vt:lpstr>RW</vt:lpstr>
      <vt:lpstr>SCRF</vt:lpstr>
      <vt:lpstr>ScrL1</vt:lpstr>
      <vt:lpstr>ScrL2</vt:lpstr>
      <vt:lpstr>ScrMG</vt:lpstr>
      <vt:lpstr>SF</vt:lpstr>
      <vt:lpstr>SMG</vt:lpstr>
      <vt:lpstr>VLM</vt:lpstr>
      <vt:lpstr>WCD</vt:lpstr>
      <vt:lpstr>WE</vt:lpstr>
      <vt:lpstr>WM</vt:lpstr>
      <vt:lpstr>WS</vt:lpstr>
      <vt:lpstr>x</vt:lpstr>
      <vt:lpstr>ZVAL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Alasdair Noble</cp:lastModifiedBy>
  <cp:lastPrinted>2023-01-23T23:32:29Z</cp:lastPrinted>
  <dcterms:created xsi:type="dcterms:W3CDTF">2016-10-28T03:10:36Z</dcterms:created>
  <dcterms:modified xsi:type="dcterms:W3CDTF">2023-02-13T07:14:16Z</dcterms:modified>
</cp:coreProperties>
</file>